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3735" windowHeight="2100" tabRatio="730" firstSheet="5" activeTab="17"/>
  </bookViews>
  <sheets>
    <sheet name="Hero" sheetId="1" r:id="rId1"/>
    <sheet name="Paladin" sheetId="2" r:id="rId2"/>
    <sheet name="DarkKnight" sheetId="3" r:id="rId3"/>
    <sheet name="BowMaster" sheetId="4" r:id="rId4"/>
    <sheet name="XbowMaster" sheetId="5" r:id="rId5"/>
    <sheet name="Shadower" sheetId="6" r:id="rId6"/>
    <sheet name="NightLord" sheetId="7" r:id="rId7"/>
    <sheet name="DualBlade" sheetId="8" r:id="rId8"/>
    <sheet name="ArchMage(Fire&amp;Poison)" sheetId="9" r:id="rId9"/>
    <sheet name="ArchMage(Ice&amp;Thunder)" sheetId="10" r:id="rId10"/>
    <sheet name="Bishop" sheetId="11" r:id="rId11"/>
    <sheet name="Viper" sheetId="12" r:id="rId12"/>
    <sheet name="Captain" sheetId="13" r:id="rId13"/>
    <sheet name="Aｒan" sheetId="14" r:id="rId14"/>
    <sheet name="Even" sheetId="15" r:id="rId15"/>
    <sheet name="BattleMage" sheetId="16" r:id="rId16"/>
    <sheet name="WildHunter" sheetId="17" r:id="rId17"/>
    <sheet name="ReadMe" sheetId="18" r:id="rId18"/>
  </sheets>
  <definedNames/>
  <calcPr fullCalcOnLoad="1"/>
</workbook>
</file>

<file path=xl/sharedStrings.xml><?xml version="1.0" encoding="utf-8"?>
<sst xmlns="http://schemas.openxmlformats.org/spreadsheetml/2006/main" count="4986" uniqueCount="1216">
  <si>
    <t>・スナイピングの待機時間はLv30あたりから○秒+0～3秒でランダムで増加します</t>
  </si>
  <si>
    <t>マークスマン</t>
  </si>
  <si>
    <t>シップ</t>
  </si>
  <si>
    <t>・ピオシングMAXチャージ時分間攻撃回数は、32回/分</t>
  </si>
  <si>
    <t>・ピオシング3体以上補足した場合、ストレイフの分間ダメージ率を超えます</t>
  </si>
  <si>
    <t>・ただし現状、3匹以上補足できるボスは皆無なので、算出できません</t>
  </si>
  <si>
    <t>　・その他もろもろ</t>
  </si>
  <si>
    <t>(MapleStory Ver.1.79時)</t>
  </si>
  <si>
    <t>(MapleStory Ver.1.78時)</t>
  </si>
  <si>
    <t>　2010/04/10</t>
  </si>
  <si>
    <t>　Version 1.21</t>
  </si>
  <si>
    <r>
      <t>　2010</t>
    </r>
    <r>
      <rPr>
        <sz val="11"/>
        <rFont val="ＭＳ Ｐゴシック"/>
        <family val="3"/>
      </rPr>
      <t>/12/13</t>
    </r>
  </si>
  <si>
    <t>　Version 1.31</t>
  </si>
  <si>
    <t>　・バトルメイジ、ワイルドハンターの計算シートを追加</t>
  </si>
  <si>
    <t>　・ナイトロードのスピリットダークの有無を選択できるようにしました</t>
  </si>
  <si>
    <t>　・スナイピングのダメージを修正</t>
  </si>
  <si>
    <t>　・パラディンのチャージ計算式を修正</t>
  </si>
  <si>
    <t>アローボム</t>
  </si>
  <si>
    <t>　Version 1.24</t>
  </si>
  <si>
    <t>　・エヴァン、デュアルブレードの計算シートを仮追加</t>
  </si>
  <si>
    <t>　・ボウマスターのアローボムの計算セルを追加</t>
  </si>
  <si>
    <t>　・スタンマスタリーのダメージ率を修正</t>
  </si>
  <si>
    <t>　・バトルシップ耐久力計算式を修正</t>
  </si>
  <si>
    <t>セルは、チェックボックスがあります。ただしWeb版ではチェックボックスが表示されません。</t>
  </si>
  <si>
    <t>　Version 1.29</t>
  </si>
  <si>
    <r>
      <t>　2010</t>
    </r>
    <r>
      <rPr>
        <sz val="11"/>
        <rFont val="ＭＳ Ｐゴシック"/>
        <family val="3"/>
      </rPr>
      <t>/11/23</t>
    </r>
  </si>
  <si>
    <t>　・戦士3職にファイナルアタックを追加</t>
  </si>
  <si>
    <t>　・エラーになっていたセルを修正</t>
  </si>
  <si>
    <t>　・一部計算仕様を修正</t>
  </si>
  <si>
    <t>　もし他所へ入力してしまった場合は、保存をせずに一旦を閉じて再び開くか、　"元に戻す"(Ctrl+ Z キー)で戻ります</t>
  </si>
  <si>
    <r>
      <t>　・W</t>
    </r>
    <r>
      <rPr>
        <sz val="11"/>
        <rFont val="ＭＳ Ｐゴシック"/>
        <family val="3"/>
      </rPr>
      <t>eb版にチェックボックスの代用機能を追加</t>
    </r>
  </si>
  <si>
    <t>ブレイズ</t>
  </si>
  <si>
    <t>　・パラディンのダメージ表記方法を変更</t>
  </si>
  <si>
    <r>
      <t>　・"冒険家の帰還</t>
    </r>
    <r>
      <rPr>
        <sz val="11"/>
        <rFont val="ＭＳ Ｐゴシック"/>
        <family val="3"/>
      </rPr>
      <t>"による計算式・仕様の変更に対応</t>
    </r>
  </si>
  <si>
    <r>
      <t>　2010/</t>
    </r>
    <r>
      <rPr>
        <sz val="11"/>
        <rFont val="ＭＳ Ｐゴシック"/>
        <family val="3"/>
      </rPr>
      <t>04</t>
    </r>
    <r>
      <rPr>
        <sz val="11"/>
        <rFont val="ＭＳ Ｐゴシック"/>
        <family val="3"/>
      </rPr>
      <t>/</t>
    </r>
    <r>
      <rPr>
        <sz val="11"/>
        <rFont val="ＭＳ Ｐゴシック"/>
        <family val="3"/>
      </rPr>
      <t>05</t>
    </r>
    <r>
      <rPr>
        <sz val="11"/>
        <rFont val="ＭＳ Ｐゴシック"/>
        <family val="3"/>
      </rPr>
      <t>　</t>
    </r>
  </si>
  <si>
    <t>雷重ね掛け</t>
  </si>
  <si>
    <t>速度6(普通)　　 ＝サーフボード全般(除：赤)　スノーボード全般　メイプルブローバ・カルスタン</t>
  </si>
  <si>
    <t>Lv</t>
  </si>
  <si>
    <t>STR</t>
  </si>
  <si>
    <t>DEX</t>
  </si>
  <si>
    <t>振れるAP</t>
  </si>
  <si>
    <t>素</t>
  </si>
  <si>
    <t>武</t>
  </si>
  <si>
    <t>攻撃速度</t>
  </si>
  <si>
    <t>盾</t>
  </si>
  <si>
    <t>頭</t>
  </si>
  <si>
    <t>顔</t>
  </si>
  <si>
    <t>目</t>
  </si>
  <si>
    <t>首</t>
  </si>
  <si>
    <t>耳</t>
  </si>
  <si>
    <t>合計ダメージ</t>
  </si>
  <si>
    <t>ダメージ率</t>
  </si>
  <si>
    <t>カウント数</t>
  </si>
  <si>
    <t>倍率</t>
  </si>
  <si>
    <t>一段</t>
  </si>
  <si>
    <t>合計</t>
  </si>
  <si>
    <t>最小</t>
  </si>
  <si>
    <t>平均</t>
  </si>
  <si>
    <t>最大</t>
  </si>
  <si>
    <t>靴</t>
  </si>
  <si>
    <t>手</t>
  </si>
  <si>
    <t>背</t>
  </si>
  <si>
    <t>MH上昇率</t>
  </si>
  <si>
    <t>補正</t>
  </si>
  <si>
    <t>補足</t>
  </si>
  <si>
    <t>・B4には「片手剣」「両手剣」「片手斧」「両手斧」のいずれかを入力</t>
  </si>
  <si>
    <t>攻撃回数</t>
  </si>
  <si>
    <t>一分あたりのダメージ</t>
  </si>
  <si>
    <t>ヒーロー</t>
  </si>
  <si>
    <t>MIN</t>
  </si>
  <si>
    <t>AVE</t>
  </si>
  <si>
    <t>MAX</t>
  </si>
  <si>
    <t>コンボシステム</t>
  </si>
  <si>
    <t>ACLv</t>
  </si>
  <si>
    <t>MH</t>
  </si>
  <si>
    <t>聖チャージ</t>
  </si>
  <si>
    <t>(FA込み)</t>
  </si>
  <si>
    <r>
      <t>一分あたりのダメージ(</t>
    </r>
    <r>
      <rPr>
        <sz val="11"/>
        <rFont val="ＭＳ Ｐゴシック"/>
        <family val="3"/>
      </rPr>
      <t>FA込み)</t>
    </r>
  </si>
  <si>
    <t>ミラー</t>
  </si>
  <si>
    <t>(奇数段)</t>
  </si>
  <si>
    <t>ブレイド</t>
  </si>
  <si>
    <t>(偶数段)</t>
  </si>
  <si>
    <t>全段合計</t>
  </si>
  <si>
    <t>一分あたりのダメージ(ミラー含む)</t>
  </si>
  <si>
    <t>単体+ミラー合計</t>
  </si>
  <si>
    <t>インフィニティ</t>
  </si>
  <si>
    <t>最終ダメージ率</t>
  </si>
  <si>
    <t>ダメージ上昇回数</t>
  </si>
  <si>
    <t>平均ダメージ率</t>
  </si>
  <si>
    <t>分間平均倍率</t>
  </si>
  <si>
    <t>(弱点時)</t>
  </si>
  <si>
    <t>(通常時)</t>
  </si>
  <si>
    <t>一分あたりのダメージ(持続ダメージ込み)</t>
  </si>
  <si>
    <t>テレポートマスタリー</t>
  </si>
  <si>
    <t>一分あたりのダメージ(通常時)</t>
  </si>
  <si>
    <t>一分あたりのダメージ(弱点時)</t>
  </si>
  <si>
    <t>インフィニティ</t>
  </si>
  <si>
    <t>エルクィネス</t>
  </si>
  <si>
    <t>防御率無視</t>
  </si>
  <si>
    <t>インファイティング</t>
  </si>
  <si>
    <t>マスタリー</t>
  </si>
  <si>
    <t>カウンターアタック</t>
  </si>
  <si>
    <t>5発合計</t>
  </si>
  <si>
    <t>・B4には「片手剣」「両手剣」「片手鈍器」「両手鈍器」のいずれかを入力</t>
  </si>
  <si>
    <t>攻撃力</t>
  </si>
  <si>
    <t>上昇率</t>
  </si>
  <si>
    <t>チャージブロー</t>
  </si>
  <si>
    <t>通常単発</t>
  </si>
  <si>
    <t>メイジ、エヴァンのみ特化育成、その他は120装備にあわせたステータス</t>
  </si>
  <si>
    <t>全職、MH9がかかった状態が初期値になってます。</t>
  </si>
  <si>
    <t>基本的に120武器。ヒーロー・パラディンはグレイヴ、メイジ、エヴァンは130属性杖を想定。</t>
  </si>
  <si>
    <t>　強制ではありません。</t>
  </si>
  <si>
    <t>単発</t>
  </si>
  <si>
    <t>熟練度</t>
  </si>
  <si>
    <t>トルネードスピン</t>
  </si>
  <si>
    <t>STR</t>
  </si>
  <si>
    <t>DEX</t>
  </si>
  <si>
    <t>LUK</t>
  </si>
  <si>
    <t>INT</t>
  </si>
  <si>
    <t>Lv</t>
  </si>
  <si>
    <t>ベルト</t>
  </si>
  <si>
    <t>ペット</t>
  </si>
  <si>
    <t>MH</t>
  </si>
  <si>
    <t>スキル</t>
  </si>
  <si>
    <t>Lv</t>
  </si>
  <si>
    <t>エヴァン</t>
  </si>
  <si>
    <t>弓</t>
  </si>
  <si>
    <t>単発期待値</t>
  </si>
  <si>
    <t>矢</t>
  </si>
  <si>
    <t>攻撃</t>
  </si>
  <si>
    <t>射出数/分</t>
  </si>
  <si>
    <t>通常</t>
  </si>
  <si>
    <t>・暴風の射出数は攻撃速度に依存しないとし、500発/分で統一</t>
  </si>
  <si>
    <t>最高</t>
  </si>
  <si>
    <t>発生確率</t>
  </si>
  <si>
    <t>上乗せ期待値</t>
  </si>
  <si>
    <t>弩</t>
  </si>
  <si>
    <t>最大捕捉</t>
  </si>
  <si>
    <t>捕捉数</t>
  </si>
  <si>
    <t>・ピオシングは1分間連射することはないとして、分間ダメージは算出してません</t>
  </si>
  <si>
    <t>期待値</t>
  </si>
  <si>
    <t>短剣</t>
  </si>
  <si>
    <t>一分あたりの総ダメージ</t>
  </si>
  <si>
    <t>アサルター</t>
  </si>
  <si>
    <t>使用スキル</t>
  </si>
  <si>
    <t>単一対象</t>
  </si>
  <si>
    <t>BS補足数2</t>
  </si>
  <si>
    <t>BS補足数3</t>
  </si>
  <si>
    <t>　(シャドーの暗殺、バイパーのコンボシミュレータ、魔法使いのテレポートマスタリーのみ、</t>
  </si>
  <si>
    <t>　右部に入力部分があります。)</t>
  </si>
  <si>
    <t>STR</t>
  </si>
  <si>
    <t>DEX</t>
  </si>
  <si>
    <t>INT</t>
  </si>
  <si>
    <t>LUK</t>
  </si>
  <si>
    <t>クリティカル</t>
  </si>
  <si>
    <t>ベルト</t>
  </si>
  <si>
    <t>ペット</t>
  </si>
  <si>
    <t>MH</t>
  </si>
  <si>
    <t>スキル</t>
  </si>
  <si>
    <t>STR％</t>
  </si>
  <si>
    <t>DEX％</t>
  </si>
  <si>
    <t>INT％</t>
  </si>
  <si>
    <t>LUK％</t>
  </si>
  <si>
    <t>クリティカル</t>
  </si>
  <si>
    <t>スキルLv</t>
  </si>
  <si>
    <t>シャープ</t>
  </si>
  <si>
    <t>ソンズ</t>
  </si>
  <si>
    <t>プレッシャー</t>
  </si>
  <si>
    <t>P.シャープ</t>
  </si>
  <si>
    <t>コダマorエコー</t>
  </si>
  <si>
    <t>テレポートマスタリー</t>
  </si>
  <si>
    <t>Lv</t>
  </si>
  <si>
    <t>フリースキル</t>
  </si>
  <si>
    <t>バトルメイジ</t>
  </si>
  <si>
    <t>フィニッシュブロ</t>
  </si>
  <si>
    <t>サイクロン</t>
  </si>
  <si>
    <t>ダークジェネシス</t>
  </si>
  <si>
    <t>A.ダークオーラ</t>
  </si>
  <si>
    <t>フィニッシュアタック</t>
  </si>
  <si>
    <t>フィニッシュアタック</t>
  </si>
  <si>
    <t>ダークジェネシス</t>
  </si>
  <si>
    <t>ダークライトニング</t>
  </si>
  <si>
    <t>黒オーラ使用</t>
  </si>
  <si>
    <t>ダークオーラ</t>
  </si>
  <si>
    <t>スーパーボディーを</t>
  </si>
  <si>
    <t>ブロー+F.アタック使用</t>
  </si>
  <si>
    <t>ライト回数</t>
  </si>
  <si>
    <t>ブロー+F.アタック</t>
  </si>
  <si>
    <t>ブロー+D.ライトニング使用</t>
  </si>
  <si>
    <t>+D.ライトニング使用</t>
  </si>
  <si>
    <t>BS補足数4</t>
  </si>
  <si>
    <t>暗殺</t>
  </si>
  <si>
    <t>アサルター</t>
  </si>
  <si>
    <t>暗殺（ファイナルなし）</t>
  </si>
  <si>
    <t>暗殺（ファイナルあり）</t>
  </si>
  <si>
    <t>ブーメランステップ</t>
  </si>
  <si>
    <t>サベジ</t>
  </si>
  <si>
    <t>･攻撃速度は現状、やや早い・早いで差が生まれないためスルーしています</t>
  </si>
  <si>
    <t>スキル</t>
  </si>
  <si>
    <t>攻撃回数/分</t>
  </si>
  <si>
    <t>サベッジスタブ</t>
  </si>
  <si>
    <t>アサルター</t>
  </si>
  <si>
    <t>サベジ</t>
  </si>
  <si>
    <t>アサルター</t>
  </si>
  <si>
    <t>篭手</t>
  </si>
  <si>
    <t>手裏剣</t>
  </si>
  <si>
    <t>シャドーパｰトナー召喚時合計期待値</t>
  </si>
  <si>
    <t>ブレスト</t>
  </si>
  <si>
    <t>ダークナイト</t>
  </si>
  <si>
    <t>Lv</t>
  </si>
  <si>
    <t>STR</t>
  </si>
  <si>
    <t>DEX</t>
  </si>
  <si>
    <t>スピリット</t>
  </si>
  <si>
    <t>MH</t>
  </si>
  <si>
    <t>ボウマスター</t>
  </si>
  <si>
    <t>ストレイフ</t>
  </si>
  <si>
    <t>クリティカル</t>
  </si>
  <si>
    <t>合計上昇速度</t>
  </si>
  <si>
    <t>速度上昇スキル</t>
  </si>
  <si>
    <t>無</t>
  </si>
  <si>
    <r>
      <t>(</t>
    </r>
    <r>
      <rPr>
        <sz val="11"/>
        <rFont val="ＭＳ Ｐゴシック"/>
        <family val="3"/>
      </rPr>
      <t>W</t>
    </r>
    <r>
      <rPr>
        <sz val="11"/>
        <rFont val="ＭＳ Ｐゴシック"/>
        <family val="3"/>
      </rPr>
      <t>B+黄オーラ)</t>
    </r>
  </si>
  <si>
    <t>エキスパート</t>
  </si>
  <si>
    <t>MH</t>
  </si>
  <si>
    <t>Lv</t>
  </si>
  <si>
    <t>クリティカル</t>
  </si>
  <si>
    <t>期待値</t>
  </si>
  <si>
    <t>クロスボウマスター</t>
  </si>
  <si>
    <t>Lv</t>
  </si>
  <si>
    <t>STR</t>
  </si>
  <si>
    <t>DEX</t>
  </si>
  <si>
    <t>　アラン</t>
  </si>
  <si>
    <t>　</t>
  </si>
  <si>
    <t>　　　※コンボシステムにより、攻撃力上昇に時間がかかる</t>
  </si>
  <si>
    <t>LUK</t>
  </si>
  <si>
    <t>INT</t>
  </si>
  <si>
    <t>ピオシング</t>
  </si>
  <si>
    <t>ピオシング</t>
  </si>
  <si>
    <t>シャドー</t>
  </si>
  <si>
    <t>STR</t>
  </si>
  <si>
    <t>DEX</t>
  </si>
  <si>
    <t>サベッジスタブ</t>
  </si>
  <si>
    <t>ブーメラン
ステップ＋</t>
  </si>
  <si>
    <t>アサルター</t>
  </si>
  <si>
    <t>MH</t>
  </si>
  <si>
    <t>ブーメランステップ</t>
  </si>
  <si>
    <t>ブーメラン
ステップ＋</t>
  </si>
  <si>
    <t>ナイトロード</t>
  </si>
  <si>
    <t>トリプルスロー</t>
  </si>
  <si>
    <t>MH</t>
  </si>
  <si>
    <t>Read me</t>
  </si>
  <si>
    <t xml:space="preserve"> 　「あるスキルを一分間使い続けた時の総ダメージ量」</t>
  </si>
  <si>
    <t>　を算出できます。</t>
  </si>
  <si>
    <t>■使い方</t>
  </si>
  <si>
    <t>　この色で</t>
  </si>
  <si>
    <t>塗られたセル(マス)にそれぞれ数値等を入力してください。</t>
  </si>
  <si>
    <t>充填率</t>
  </si>
  <si>
    <t>スピダク使用</t>
  </si>
  <si>
    <t>　ただし、数値は半角でないと機能しませんし、武器の種類は正確に入力しないと機能しません。</t>
  </si>
  <si>
    <t>　シャドー以外は、</t>
  </si>
  <si>
    <t>この色で</t>
  </si>
  <si>
    <t>塗られたセル(マス)が一分あたりのダメージです。</t>
  </si>
  <si>
    <t>　MHはメイプルヒーローの略</t>
  </si>
  <si>
    <t>■注意書</t>
  </si>
  <si>
    <t>　ないとは思いますが再配布等は禁止です。</t>
  </si>
  <si>
    <t>　当サイト(http://f2d10l.exblog.jp/)で公開されているという事を書き添えて頂ければ幸いです。</t>
  </si>
  <si>
    <t>コンボカウント数によるダメージ率の推移</t>
  </si>
  <si>
    <t>　エクセル初心者が手探りで作ったので、関数等の使い方が下手糞かもしれませんが多めに見てください。</t>
  </si>
  <si>
    <t>　計算結果は正しいはずです。</t>
  </si>
  <si>
    <t>短剣・ブレイド</t>
  </si>
  <si>
    <t>　式等が壊れて使えなくなる可能性があります。</t>
  </si>
  <si>
    <t>■更新履歴</t>
  </si>
  <si>
    <t>　・一部で文字が正常に表示されない不具合を修正</t>
  </si>
  <si>
    <r>
      <t>　・W</t>
    </r>
    <r>
      <rPr>
        <sz val="11"/>
        <rFont val="ＭＳ Ｐゴシック"/>
        <family val="3"/>
      </rPr>
      <t>ebページ版を公開</t>
    </r>
  </si>
  <si>
    <t>　・初版公開</t>
  </si>
  <si>
    <t>■公開元</t>
  </si>
  <si>
    <t>　実際に計算結果より大きい・小さい数値が出た、等の間違いがあればこちらへ。</t>
  </si>
  <si>
    <t>DamagePerMinute</t>
  </si>
  <si>
    <t>　2008/03/12</t>
  </si>
  <si>
    <t>　Version 1.01</t>
  </si>
  <si>
    <r>
      <t>　</t>
    </r>
    <r>
      <rPr>
        <sz val="11"/>
        <rFont val="ＭＳ Ｐゴシック"/>
        <family val="3"/>
      </rPr>
      <t>2</t>
    </r>
    <r>
      <rPr>
        <sz val="11"/>
        <rFont val="ＭＳ Ｐゴシック"/>
        <family val="3"/>
      </rPr>
      <t>008/03/06</t>
    </r>
  </si>
  <si>
    <t>　Version 1.00</t>
  </si>
  <si>
    <t>　ほたるのひかり</t>
  </si>
  <si>
    <t>Lv</t>
  </si>
  <si>
    <t>STR</t>
  </si>
  <si>
    <t>DEX</t>
  </si>
  <si>
    <t>LUK</t>
  </si>
  <si>
    <t>INT</t>
  </si>
  <si>
    <t>MH</t>
  </si>
  <si>
    <t>アークメイジ(火・毒)</t>
  </si>
  <si>
    <t>ナムネス</t>
  </si>
  <si>
    <t>デーモン</t>
  </si>
  <si>
    <t>メテオ</t>
  </si>
  <si>
    <t>武器属性</t>
  </si>
  <si>
    <t>Lv</t>
  </si>
  <si>
    <t>最大補足</t>
  </si>
  <si>
    <t>　Version 1.23</t>
  </si>
  <si>
    <t>(MapleStory Ver.1.80時)</t>
  </si>
  <si>
    <t>　・クリティカル効果付きの装備を適用できるようにしました</t>
  </si>
  <si>
    <r>
      <t>　・S</t>
    </r>
    <r>
      <rPr>
        <sz val="11"/>
        <rFont val="ＭＳ Ｐゴシック"/>
        <family val="3"/>
      </rPr>
      <t>Eとクリティカルの計算のレイアウトを変更</t>
    </r>
  </si>
  <si>
    <t>　・モンスター種族別特攻効果を仮追加</t>
  </si>
  <si>
    <t>　・パラディンの期待値計算式を修正</t>
  </si>
  <si>
    <t>魔力</t>
  </si>
  <si>
    <t>耐性</t>
  </si>
  <si>
    <t>弱点</t>
  </si>
  <si>
    <t>ファイアデーモン</t>
  </si>
  <si>
    <t>メテオ</t>
  </si>
  <si>
    <t>Lv</t>
  </si>
  <si>
    <t>Lv</t>
  </si>
  <si>
    <t>デーモン</t>
  </si>
  <si>
    <t>MH</t>
  </si>
  <si>
    <t>アークメイジ(氷・雷)</t>
  </si>
  <si>
    <t>チェイン</t>
  </si>
  <si>
    <t>・武器属性 欄には「毒」「火」のいずれかを入力</t>
  </si>
  <si>
    <t>・「毒」「火」以外を入力すると(何も入力しなければ)無属性とされます</t>
  </si>
  <si>
    <t>雷</t>
  </si>
  <si>
    <t>ブリザード</t>
  </si>
  <si>
    <t>一分あたりのダメージ(シャドパ込み)</t>
  </si>
  <si>
    <t>ミラー</t>
  </si>
  <si>
    <t>分間ダメージ倍率</t>
  </si>
  <si>
    <t>MH</t>
  </si>
  <si>
    <t>ビショップ</t>
  </si>
  <si>
    <t>エンジェルレイ</t>
  </si>
  <si>
    <t>ジェネシス</t>
  </si>
  <si>
    <t>エンジェルレイ</t>
  </si>
  <si>
    <t>クリティカル</t>
  </si>
  <si>
    <t>アッパーステップ</t>
  </si>
  <si>
    <t>持続ダメージ</t>
  </si>
  <si>
    <t>持続ダメージ率</t>
  </si>
  <si>
    <t>イフリート</t>
  </si>
  <si>
    <t>イフリート</t>
  </si>
  <si>
    <t>ナムネスバインド(単一対象時)</t>
  </si>
  <si>
    <t>マスターマジック</t>
  </si>
  <si>
    <t>総ダメージ率</t>
  </si>
  <si>
    <t>　2008/03/14</t>
  </si>
  <si>
    <t>　Version 1.02</t>
  </si>
  <si>
    <t>　・アークメイジ・ビショップの計算シートを追加</t>
  </si>
  <si>
    <t>　・シャドー・暗殺(ファイナルあり)の計算式がおかしい気がしたので修正</t>
  </si>
  <si>
    <t>　・パラディンにシャープアイズを適用出来るようになりました</t>
  </si>
  <si>
    <t>･攻撃　の補正　欄は、エキスパートによる上昇値です　</t>
  </si>
  <si>
    <t>鎧上</t>
  </si>
  <si>
    <t>･斧でも突き、振りでのダメージ変化はありません</t>
  </si>
  <si>
    <t>･鈍器でも突き、振りでのダメージ変化はありません</t>
  </si>
  <si>
    <t>・コンバットオーダーは、そのまま使用後のスキルLvを入力してください</t>
  </si>
  <si>
    <t>･槍、鉾でも突き、振りでのダメージ変化はありません</t>
  </si>
  <si>
    <t>・サクリファイスは防御率完全無視</t>
  </si>
  <si>
    <t>・Web版の場合、使用チャージを選択するD18～D22のボタンが表示されていません</t>
  </si>
  <si>
    <t>　そのため、聖(+雷)チャージを 1 火(+雷)チャージを 2  …　無属性を 5　とした数値を</t>
  </si>
  <si>
    <t>　D16(使用チャージと書かれている右のセル)に、半角で直接入力してください。</t>
  </si>
  <si>
    <t>・ただしベノムは手裏剣の攻撃力が含まれません</t>
  </si>
  <si>
    <t>・スピリットダークを使用しない場合は、手裏剣マスタリーの充填→クリティカル効果が適用</t>
  </si>
  <si>
    <t>・ドラゴンジャッジメントの能力は加算済み</t>
  </si>
  <si>
    <t>・ブレシングアーマーの攻撃力上昇は薬と重複可能</t>
  </si>
  <si>
    <t>・ドラゴンブラッドと薬の重複は不可</t>
  </si>
  <si>
    <t>･ファイナルアタックは硬直なしで射出　暴風時200発/分</t>
  </si>
  <si>
    <t>･ただしファイナルアタックには100切りが発生します</t>
  </si>
  <si>
    <t>・明鏡止水は薬と重複可能</t>
  </si>
  <si>
    <t>･ファイナルアタックは硬直なしで射出</t>
  </si>
  <si>
    <t>・スナイピングはボス戦の場合、ダメ表示に関らず500,000固定ダメージです</t>
  </si>
  <si>
    <t>・アサルターは防御率無視</t>
  </si>
  <si>
    <t>・ベノムはボスにも効くため、常にかかっているものとし毒ダメージ*60を分間ダメージに追加</t>
  </si>
  <si>
    <t>・ミラーイメージングのダメージは、シャドパ同様本体ダメージの70%のダメージです</t>
  </si>
  <si>
    <t>・フェイタル、チェインヘルにミラーがかかった場合の最高攻撃回数は15回</t>
  </si>
  <si>
    <t>・ファイナルスラッシュ適用の場合、分間ダメージは(持続時間/待機時間)*効果　倍してます</t>
  </si>
  <si>
    <t>・インフィニティは0%～140%の平均を基にし</t>
  </si>
  <si>
    <t>　(持続時間/待機時間)*ダメージ平均　を分間ダメージに乗算させています</t>
  </si>
  <si>
    <t>・ダメージは全て、スタンしていない相手を想定してあります</t>
  </si>
  <si>
    <t>※BB後のディレイ・硬直を計っていないため</t>
  </si>
  <si>
    <t>　実際の結果とはかなり異なる場合があります。</t>
  </si>
  <si>
    <t>　参考程度にもなりませんのでご注意ください</t>
  </si>
  <si>
    <t>・コンボが100未満の時は攻撃力が変動するため、分間ダメージの算出ができません</t>
  </si>
  <si>
    <r>
      <t>　2010/1</t>
    </r>
    <r>
      <rPr>
        <sz val="11"/>
        <rFont val="ＭＳ Ｐゴシック"/>
        <family val="3"/>
      </rPr>
      <t>1</t>
    </r>
    <r>
      <rPr>
        <sz val="11"/>
        <rFont val="ＭＳ Ｐゴシック"/>
        <family val="3"/>
      </rPr>
      <t>/</t>
    </r>
    <r>
      <rPr>
        <sz val="11"/>
        <rFont val="ＭＳ Ｐゴシック"/>
        <family val="3"/>
      </rPr>
      <t>18</t>
    </r>
  </si>
  <si>
    <r>
      <t>　・ステータス入力部分の並び順を変更(旧：</t>
    </r>
    <r>
      <rPr>
        <sz val="11"/>
        <rFont val="ＭＳ Ｐゴシック"/>
        <family val="3"/>
      </rPr>
      <t>STR DEX LUK INT　→新：STR DEX INT LUK)</t>
    </r>
  </si>
  <si>
    <t>　・BIG BANGに伴う計算式、スキル能力の改変に対応しました</t>
  </si>
  <si>
    <r>
      <t>　・職業シートの並び順を変更(旧：…パラディン　弩　弓　…→新：…パラディン　弓　弩　…</t>
    </r>
    <r>
      <rPr>
        <sz val="11"/>
        <rFont val="ＭＳ Ｐゴシック"/>
        <family val="3"/>
      </rPr>
      <t>)</t>
    </r>
  </si>
  <si>
    <t>　Version 1.28</t>
  </si>
  <si>
    <t>　　　　　ボウマスター　クロスボウマスター　アークメイジ　ビショップ　エヴァンのスキル全般</t>
  </si>
  <si>
    <t>　　　　　シャドー　：暗殺</t>
  </si>
  <si>
    <t>　　　　　アラン　　　：ダブルスイング、トリプルスイング、ファイナルブロー</t>
  </si>
  <si>
    <t>　　　　※ただしキャプテンはホーミング、エヴァンはキリングウィングの使用によりこれを防げる</t>
  </si>
  <si>
    <t>　エヴァン</t>
  </si>
  <si>
    <r>
      <t>　　・マジックレジスタンス(大</t>
    </r>
    <r>
      <rPr>
        <sz val="11"/>
        <rFont val="ＭＳ Ｐゴシック"/>
        <family val="3"/>
      </rPr>
      <t>)</t>
    </r>
  </si>
  <si>
    <t>イフリート召喚あり</t>
  </si>
  <si>
    <t>火属性：通常時</t>
  </si>
  <si>
    <t>火属性：弱点時</t>
  </si>
  <si>
    <t>氷属性：通常時</t>
  </si>
  <si>
    <t>氷属性：弱点時</t>
  </si>
  <si>
    <t>雷属性：通常時</t>
  </si>
  <si>
    <t>エルクィネス召喚あり</t>
  </si>
  <si>
    <t>エルクィネス召喚</t>
  </si>
  <si>
    <t>鎧下</t>
  </si>
  <si>
    <t>全身</t>
  </si>
  <si>
    <t>基本ダメージ率</t>
  </si>
  <si>
    <t>最大カウント時</t>
  </si>
  <si>
    <t>主な武器の速度一覧</t>
  </si>
  <si>
    <t>速度7(やや遅い)＝バタフライ　ドラゴンタスク　殲滅刀　等</t>
  </si>
  <si>
    <t>速度8(やや遅い)＝斬馬刀</t>
  </si>
  <si>
    <t>速度6(普通)＝クレイモア等両手剣全般　片手鈍器全般　クロム</t>
  </si>
  <si>
    <t>速度7(やや遅い)＝クロム以外の両手鈍器　殲滅刀　等</t>
  </si>
  <si>
    <t>速度3(早い)＝フュージョンメイス　世界の豚図鑑</t>
  </si>
  <si>
    <t>　2008/03/17</t>
  </si>
  <si>
    <t>　Version 1.03</t>
  </si>
  <si>
    <t>　・ヒーローにシャープアイズを適用できるようになりました</t>
  </si>
  <si>
    <t>　・ボウマスター・クロスボウマスターのエキスパートで攻撃力が上昇しなかったバグを修正</t>
  </si>
  <si>
    <t>　・軽量化のため、HIT(命中)・MOVE(移動速度)・JUMP(ジャンプ力)欄を削除</t>
  </si>
  <si>
    <t>　・ヒーロー・パラディン・ダークナイトに、主な武器の攻撃速度一覧を追加</t>
  </si>
  <si>
    <t>一分あたりのダメージ(耐性時)</t>
  </si>
  <si>
    <t>クリティカル</t>
  </si>
  <si>
    <t>合計期待値</t>
  </si>
  <si>
    <t>Lv</t>
  </si>
  <si>
    <t>単体</t>
  </si>
  <si>
    <t>　2008/03/18</t>
  </si>
  <si>
    <t>　Version 1.04</t>
  </si>
  <si>
    <t>　・魔法使い3種にシャープアイズを適用できるようになりました</t>
  </si>
  <si>
    <t>　･仮計算式ですがダークナイトにシャープアイズを適用できるようになりました</t>
  </si>
  <si>
    <t>　・全職のLv、ステータスをある程度統一しました</t>
  </si>
  <si>
    <t>敵の防御力</t>
  </si>
  <si>
    <r>
      <t>敵のL</t>
    </r>
    <r>
      <rPr>
        <sz val="11"/>
        <rFont val="ＭＳ Ｐゴシック"/>
        <family val="3"/>
      </rPr>
      <t>v</t>
    </r>
  </si>
  <si>
    <t>Lv差(0未満なら0</t>
  </si>
  <si>
    <t>攻撃力(防御修正処理後）</t>
  </si>
  <si>
    <t>通常</t>
  </si>
  <si>
    <t>最小</t>
  </si>
  <si>
    <t>クリティカル</t>
  </si>
  <si>
    <t>期待値</t>
  </si>
  <si>
    <t>平均</t>
  </si>
  <si>
    <t>最大</t>
  </si>
  <si>
    <t>AVE</t>
  </si>
  <si>
    <t>　2008/03/21</t>
  </si>
  <si>
    <t>　Version 1.05</t>
  </si>
  <si>
    <t>　・ダークナイトのシャープアイズ計算式を正確なものに変更</t>
  </si>
  <si>
    <t>　・物理防御力・魔法防御力・Lv補正を計算できるようになりました</t>
  </si>
  <si>
    <t>命中</t>
  </si>
  <si>
    <t>・聖チャージの弱点補正は「1.22+スキルLV*0.014」</t>
  </si>
  <si>
    <t>・火・氷・雷チャージの弱点補正は「1.02+スキルLV*0.016」</t>
  </si>
  <si>
    <t>　Version 1.06</t>
  </si>
  <si>
    <t>　2008/04/01</t>
  </si>
  <si>
    <t>ダークフォグ</t>
  </si>
  <si>
    <t>　・要望があったため命中率欄を復活</t>
  </si>
  <si>
    <t>　・ダークナイト・バーサク時バスター・一分あたりのダメージが間違っていたのを修正</t>
  </si>
  <si>
    <t>　・パラディン・聖チャージ弱点補正を正確なものに修正</t>
  </si>
  <si>
    <t>　・パラディン・ブレストが防御無視計算してしまっていたので防御力減算を適用</t>
  </si>
  <si>
    <t>　Version 1.07</t>
  </si>
  <si>
    <t>　・パラディン・ブレストが二重に表示されてたのを修正</t>
  </si>
  <si>
    <r>
      <t>　･攻撃力(防御修正処理後</t>
    </r>
    <r>
      <rPr>
        <sz val="11"/>
        <rFont val="ＭＳ Ｐゴシック"/>
        <family val="3"/>
      </rPr>
      <t>)が、マイナスになる場合1になるように変更</t>
    </r>
  </si>
  <si>
    <t>防御力％無視</t>
  </si>
  <si>
    <t>スナイピング</t>
  </si>
  <si>
    <t>スナイピング</t>
  </si>
  <si>
    <t>再使用待機時間</t>
  </si>
  <si>
    <t>一分に</t>
  </si>
  <si>
    <t>回可能</t>
  </si>
  <si>
    <t>ストレイフ・スナイピング使用時の</t>
  </si>
  <si>
    <t>敵の回避率</t>
  </si>
  <si>
    <t>命中率</t>
  </si>
  <si>
    <t>必中命中率</t>
  </si>
  <si>
    <t>片手剣</t>
  </si>
  <si>
    <t>クァンタムエクスプロージョン</t>
  </si>
  <si>
    <t>クァンタム</t>
  </si>
  <si>
    <t>チェーン+フェイタルの</t>
  </si>
  <si>
    <t>チェーンヘル</t>
  </si>
  <si>
    <t>短剣攻撃力比</t>
  </si>
  <si>
    <t>ブレイド攻撃力比</t>
  </si>
  <si>
    <t>・多段攻撃スキルの場合の計算式は特殊です</t>
  </si>
  <si>
    <t>・ブレイド攻撃力比とは[ブレイド攻撃力/(短剣攻撃力+ブレイド攻撃力)]で求められる数値です</t>
  </si>
  <si>
    <t>ビーストフォーム</t>
  </si>
  <si>
    <t>ソニックブラスト</t>
  </si>
  <si>
    <t>ワイルドショット</t>
  </si>
  <si>
    <t>ボムショット</t>
  </si>
  <si>
    <t>フラッシュレイン</t>
  </si>
  <si>
    <t>矢　単発</t>
  </si>
  <si>
    <t>爆発</t>
  </si>
  <si>
    <t>・短剣攻撃力比　とは　[短剣攻撃力/(短剣攻撃力+ブレイド攻撃力)]で求められる数値です</t>
  </si>
  <si>
    <t>・奇数段計算式　[基本攻撃力*ダメージ率*短剣攻撃力比]</t>
  </si>
  <si>
    <t>フレイムホイール</t>
  </si>
  <si>
    <t>キリングウィング</t>
  </si>
  <si>
    <t>・偶数段計算式　[基本攻撃力*ダメージ率*ブレイド攻撃力比]</t>
  </si>
  <si>
    <t>・ミラーイメージングにはクリティカルが適用されません</t>
  </si>
  <si>
    <t>・キリングウィング、ゴーストレタリング、ダークフォグは闇属性を持っています</t>
  </si>
  <si>
    <t>・マジックフューリーは、ダメージでなく魔力が増えます</t>
  </si>
  <si>
    <t>　2010/08/19</t>
  </si>
  <si>
    <t>　Version 1.25</t>
  </si>
  <si>
    <t>(MapleStory Ver.1.84時)</t>
  </si>
  <si>
    <t>　・デュアルブレイドのダメージ計算式修正</t>
  </si>
  <si>
    <t>　・エヴァンにキリングウィング、ゴーストレタリング、属性別フリースキル追加</t>
  </si>
  <si>
    <t>　・エヴァン、デュアルの攻撃スキルの分間攻撃回数修正</t>
  </si>
  <si>
    <t>溜め時間</t>
  </si>
  <si>
    <t>・スナイピングは例)3分に1発なら、ダメージの1/3を一分あたりのダメージに追加しています</t>
  </si>
  <si>
    <t>・スナイピングを撃った分、ストレイフの発射数は引かれています</t>
  </si>
  <si>
    <t>　2008/06/09</t>
  </si>
  <si>
    <t>　・命中率欄を全職に復活</t>
  </si>
  <si>
    <r>
      <t>　・命中率計算を追加　命中率が1</t>
    </r>
    <r>
      <rPr>
        <sz val="11"/>
        <rFont val="ＭＳ Ｐゴシック"/>
        <family val="3"/>
      </rPr>
      <t>00%に満たない場合、分間ダメージが命中率に合わせて減少します</t>
    </r>
  </si>
  <si>
    <t>　・魔法使い3職にクァンタムエクスプロージョンを追加　ただし最大チャージ時のみ</t>
  </si>
  <si>
    <t>　・クロスボウマスターにスナイピングを追加</t>
  </si>
  <si>
    <r>
      <t>　・振れるA</t>
    </r>
    <r>
      <rPr>
        <sz val="11"/>
        <rFont val="ＭＳ Ｐゴシック"/>
        <family val="3"/>
      </rPr>
      <t>P　欄の不具合を修正</t>
    </r>
  </si>
  <si>
    <t>　MAIL</t>
  </si>
  <si>
    <t>f2d_10l@hotmail.com</t>
  </si>
  <si>
    <t>STR</t>
  </si>
  <si>
    <t>DEX</t>
  </si>
  <si>
    <t>ファイナルスラッシュ</t>
  </si>
  <si>
    <t>スラッシュ</t>
  </si>
  <si>
    <t>スラッシュ+ミラー合計</t>
  </si>
  <si>
    <t>適用する</t>
  </si>
  <si>
    <t>最大チャージ時のみ</t>
  </si>
  <si>
    <t>速度4(やや早い)＝グレイヴ(片手剣)　妖刀　赤い鞭　ライトウィップ　日本列島　77M片手剣　等</t>
  </si>
  <si>
    <t>速度5(やや早い)＝エクセキューショナーズ等片手剣全般　砕骨刀 浮き輪　等</t>
  </si>
  <si>
    <t>速度8(やや遅い)＝ディエスイレ等鉾全般　スペハン</t>
  </si>
  <si>
    <t>クロスロード</t>
  </si>
  <si>
    <r>
      <t>　　・コンバットオーダー(中</t>
    </r>
    <r>
      <rPr>
        <sz val="11"/>
        <rFont val="ＭＳ Ｐゴシック"/>
        <family val="3"/>
      </rPr>
      <t>)</t>
    </r>
  </si>
  <si>
    <r>
      <t>　　・ドラゴンブラッド(小</t>
    </r>
    <r>
      <rPr>
        <sz val="11"/>
        <rFont val="ＭＳ Ｐゴシック"/>
        <family val="3"/>
      </rPr>
      <t>)</t>
    </r>
  </si>
  <si>
    <r>
      <t>　　・ダークスピリット(小</t>
    </r>
    <r>
      <rPr>
        <sz val="11"/>
        <rFont val="ＭＳ Ｐゴシック"/>
        <family val="3"/>
      </rPr>
      <t>)</t>
    </r>
  </si>
  <si>
    <t>速度7(やや遅い)＝アルシュピス等槍全般　月牙刀　サーフボード(赤)　C.アークグレイヴ等</t>
  </si>
  <si>
    <t>速度5(やや早い)＝パンプキンスピア　釣竿　竹ヤリ　レッドデビル　43M槍</t>
  </si>
  <si>
    <t>速度6(普通)＝スキー板3種　蛇矛　サーフボード全般(除：赤)　スノーボード全般　64,77M槍</t>
  </si>
  <si>
    <t>速度7(やや遅い)＝月牙刀　サーフボード(赤)　クリムゾンアークグレイヴ</t>
  </si>
  <si>
    <t>　2010/10/06</t>
  </si>
  <si>
    <t>　Version 1.27</t>
  </si>
  <si>
    <t>　・"潜在能力"関連の計算が可能になりました</t>
  </si>
  <si>
    <t>　・弓、弩、投にソンズエフェクト適用可能になりました</t>
  </si>
  <si>
    <t>　・パラディン、アランのクリティカル計算式修正</t>
  </si>
  <si>
    <t>　・チェーンヘル、フェイタルブローのミラーダメージ修正</t>
  </si>
  <si>
    <t>　・デュアルブレイドでファイナルスラッシュが適用可能になりました</t>
  </si>
  <si>
    <t>(MapleStory Ver.1.86時)</t>
  </si>
  <si>
    <t>1個当たり</t>
  </si>
  <si>
    <t>　・一部スキル・ステータスにダメージカンスト処理を施しました</t>
  </si>
  <si>
    <t>LUK</t>
  </si>
  <si>
    <t>INT</t>
  </si>
  <si>
    <t>キャプテン</t>
  </si>
  <si>
    <t>STR</t>
  </si>
  <si>
    <t>DEX</t>
  </si>
  <si>
    <t>LUK</t>
  </si>
  <si>
    <t>INT</t>
  </si>
  <si>
    <t>バイパー</t>
  </si>
  <si>
    <t>上昇値</t>
  </si>
  <si>
    <t>フィスト</t>
  </si>
  <si>
    <t>デモリション</t>
  </si>
  <si>
    <t>ラピッドファイア</t>
  </si>
  <si>
    <t>BSキャノン</t>
  </si>
  <si>
    <t>BSミサイル</t>
  </si>
  <si>
    <t>エアストライク</t>
  </si>
  <si>
    <t>Sオクトパス</t>
  </si>
  <si>
    <t>銃</t>
  </si>
  <si>
    <t>ラピッドファイア</t>
  </si>
  <si>
    <t>バトルシップキャノン</t>
  </si>
  <si>
    <t>ガブアイオータ</t>
  </si>
  <si>
    <t>ブレッド</t>
  </si>
  <si>
    <t>バトルシップミサイル</t>
  </si>
  <si>
    <t>エアストライク</t>
  </si>
  <si>
    <t>持続時間</t>
  </si>
  <si>
    <t>Lv</t>
  </si>
  <si>
    <t>バトルシップ</t>
  </si>
  <si>
    <t>待機時間</t>
  </si>
  <si>
    <t>アドバンスド</t>
  </si>
  <si>
    <t>ホーミング</t>
  </si>
  <si>
    <t>ダメージ上昇</t>
  </si>
  <si>
    <t>(シャドパ込)</t>
  </si>
  <si>
    <t>スナッチ</t>
  </si>
  <si>
    <t>ドラゴンストライク</t>
  </si>
  <si>
    <t>ショックウェイブ</t>
  </si>
  <si>
    <t>E.バスター</t>
  </si>
  <si>
    <t>E.オーブ</t>
  </si>
  <si>
    <t>トリプルスロー時の攻撃力</t>
  </si>
  <si>
    <t>･トリプルスローの計算式は以下（ただし正確なものである保証はありません)</t>
  </si>
  <si>
    <t>・最大：LUK*8.5*総攻撃力/100</t>
  </si>
  <si>
    <t>・最小：最大ダメージ*0.713</t>
  </si>
  <si>
    <t>槍</t>
  </si>
  <si>
    <t>防御率減少</t>
  </si>
  <si>
    <r>
      <t>　2010</t>
    </r>
    <r>
      <rPr>
        <sz val="11"/>
        <rFont val="ＭＳ Ｐゴシック"/>
        <family val="3"/>
      </rPr>
      <t>/12/03</t>
    </r>
  </si>
  <si>
    <t>　Version 1.30</t>
  </si>
  <si>
    <t>(MapleStory Ver.1.87時)</t>
  </si>
  <si>
    <t>　・暗殺の累積時の分間ダメージを計算できるようにしました</t>
  </si>
  <si>
    <t>　・その他計算式、計算仕様の修正</t>
  </si>
  <si>
    <t>　・ダークナイトの鉾バスターと槍バスターの攻撃速度を修正</t>
  </si>
  <si>
    <t>　・メルエクスプロージョンのダメージ計算セルを追加</t>
  </si>
  <si>
    <t>E.ドレイン</t>
  </si>
  <si>
    <t>ドラゴンストライク</t>
  </si>
  <si>
    <t>エネルギーバスター</t>
  </si>
  <si>
    <t>エネルギードレイン</t>
  </si>
  <si>
    <t>回復率</t>
  </si>
  <si>
    <t>デモリション</t>
  </si>
  <si>
    <t>ショックウェイブ</t>
  </si>
  <si>
    <t>A.コンボ</t>
  </si>
  <si>
    <t>　全職業4次スキルを中心とした、各スキルのダメージや</t>
  </si>
  <si>
    <t>　それを元に</t>
  </si>
  <si>
    <r>
      <t>　名前は音楽用語のB</t>
    </r>
    <r>
      <rPr>
        <sz val="11"/>
        <rFont val="ＭＳ Ｐゴシック"/>
        <family val="3"/>
      </rPr>
      <t>PM(BeatPerMinute)を捩って適当につけました。</t>
    </r>
  </si>
  <si>
    <r>
      <t>　　・ブラッドドレイン(小</t>
    </r>
    <r>
      <rPr>
        <sz val="11"/>
        <rFont val="ＭＳ Ｐゴシック"/>
        <family val="3"/>
      </rPr>
      <t>)</t>
    </r>
  </si>
  <si>
    <r>
      <t>　　・テレポマスタリー(小</t>
    </r>
    <r>
      <rPr>
        <sz val="11"/>
        <rFont val="ＭＳ Ｐゴシック"/>
        <family val="3"/>
      </rPr>
      <t>)</t>
    </r>
  </si>
  <si>
    <r>
      <t>　　・コンバージョン(なし</t>
    </r>
    <r>
      <rPr>
        <sz val="11"/>
        <rFont val="ＭＳ Ｐゴシック"/>
        <family val="3"/>
      </rPr>
      <t>)</t>
    </r>
  </si>
  <si>
    <r>
      <t>　　・オーラ(なし</t>
    </r>
    <r>
      <rPr>
        <sz val="11"/>
        <rFont val="ＭＳ Ｐゴシック"/>
        <family val="3"/>
      </rPr>
      <t>)</t>
    </r>
  </si>
  <si>
    <t>　　・シャドーパートナー（大)</t>
  </si>
  <si>
    <t>　　・ブースター(小）</t>
  </si>
  <si>
    <r>
      <t>　　・スノーチャージ(小</t>
    </r>
    <r>
      <rPr>
        <sz val="11"/>
        <rFont val="ＭＳ Ｐゴシック"/>
        <family val="3"/>
      </rPr>
      <t>)</t>
    </r>
  </si>
  <si>
    <r>
      <t>　　・スマートノックバック(中</t>
    </r>
    <r>
      <rPr>
        <sz val="11"/>
        <rFont val="ＭＳ Ｐゴシック"/>
        <family val="3"/>
      </rPr>
      <t>)</t>
    </r>
  </si>
  <si>
    <r>
      <t>　　・フリーズスタンディング(中</t>
    </r>
    <r>
      <rPr>
        <sz val="11"/>
        <rFont val="ＭＳ Ｐゴシック"/>
        <family val="3"/>
      </rPr>
      <t>)</t>
    </r>
  </si>
  <si>
    <t>　計算したい職業の名前が書かれたシート(左下部にあります)を開き、</t>
  </si>
  <si>
    <t>　薬欄はタコ焼き・丸薬等全てを合わせて入力</t>
  </si>
  <si>
    <t>　技能欄のSTR,DEX,INT,LUKはMH使用時の上昇値が表示されます。</t>
  </si>
  <si>
    <t>　他箇所にはプログレスの命中上昇値や、ブレイブ・ドラゴンブラッド等の上昇値を入力してください。</t>
  </si>
  <si>
    <t>　計算結果のコピーや、スクリーンショットなどをブログ等に載せるときは</t>
  </si>
  <si>
    <t>　スキル追加などの要望、その他意見・感想などや</t>
  </si>
  <si>
    <t>DPM用記事</t>
  </si>
  <si>
    <t>http://f2d10l.exblog.jp/7485878/</t>
  </si>
  <si>
    <t>http://f2d10l.exblog.jp/</t>
  </si>
  <si>
    <t>　あくまで一分間その行動をとり続けた場合の数値なので、</t>
  </si>
  <si>
    <t>　実際にその通りのダメージが出るわけではありません。</t>
  </si>
  <si>
    <t>　右半分に計算結果が表示されます。</t>
  </si>
  <si>
    <t>　2008/10/01</t>
  </si>
  <si>
    <t>　Version 1.08</t>
  </si>
  <si>
    <t>　・海賊(バイパー・キャプテン)の計算シートを仮追加</t>
  </si>
  <si>
    <t>　・バトルメイジの分間攻撃回数を修正</t>
  </si>
  <si>
    <t>　・全職業にウィンドブースター適用可能になりました</t>
  </si>
  <si>
    <t>　・英雄のコダマを形だけ追加(計算結果に適用されません)</t>
  </si>
  <si>
    <t>　入力箇所はほとんど左半分のみです。</t>
  </si>
  <si>
    <t>■初期値について</t>
  </si>
  <si>
    <t>　ステータス</t>
  </si>
  <si>
    <t>　Lv</t>
  </si>
  <si>
    <t>　装備(防具)</t>
  </si>
  <si>
    <t>　装備(武器)</t>
  </si>
  <si>
    <t>だいたい主力スキルの揃う150Lvに設定。</t>
  </si>
  <si>
    <t>ブラッディストーム</t>
  </si>
  <si>
    <t>・武器属性 欄には「毒」「火」「雷」「氷」のいずれかを入力</t>
  </si>
  <si>
    <t>・「毒」「火」「雷」「氷」以外を入力すると(何も入力しなければ)無属性とされます</t>
  </si>
  <si>
    <t>強化にかかる費用を多少考慮し、強化の度合は武器や職によって異なってます</t>
  </si>
  <si>
    <t>　スキル</t>
  </si>
  <si>
    <t>　敵防御力等</t>
  </si>
  <si>
    <t>VSビシャスプラントを想定した数値。</t>
  </si>
  <si>
    <t>　白紙の状態から入力するのは面倒そうなので、</t>
  </si>
  <si>
    <t>　ダウンロード時から、各所に適当な数値が入力してあります。</t>
  </si>
  <si>
    <t>　この数値を参考にして、自分のステータスや好きなステータスを上書きしていってください。</t>
  </si>
  <si>
    <t>　一応、初期値の参考に</t>
  </si>
  <si>
    <t>・ラピッドファイアの射出数は攻撃速度に依存しないとし、500発/分で統一</t>
  </si>
  <si>
    <t>ラッシュ</t>
  </si>
  <si>
    <t>ラッシュ</t>
  </si>
  <si>
    <t>弱点単発</t>
  </si>
  <si>
    <t>フラッシュレイン</t>
  </si>
  <si>
    <t>フォーム使用</t>
  </si>
  <si>
    <t>・クリティカルマジックの効果は、クリティカル計算部の総計に加算されています</t>
  </si>
  <si>
    <t>キリング</t>
  </si>
  <si>
    <t>レタリング</t>
  </si>
  <si>
    <t>ゴーストレタリング</t>
  </si>
  <si>
    <t>一分あたりのダメージ(FA込)</t>
  </si>
  <si>
    <t>通常最高</t>
  </si>
  <si>
    <t>クリ最小</t>
  </si>
  <si>
    <t>クリ平均</t>
  </si>
  <si>
    <t>クリ最高</t>
  </si>
  <si>
    <t>敵の防御率</t>
  </si>
  <si>
    <t>通るダメージ</t>
  </si>
  <si>
    <t>(ボス)ダメージ上昇</t>
  </si>
  <si>
    <t>潜在能力</t>
  </si>
  <si>
    <t>攻撃力+%</t>
  </si>
  <si>
    <t>LUK％</t>
  </si>
  <si>
    <t>INT％</t>
  </si>
  <si>
    <t>DEX％</t>
  </si>
  <si>
    <t>STR％</t>
  </si>
  <si>
    <t>命中%</t>
  </si>
  <si>
    <t>英雄のコダマ</t>
  </si>
  <si>
    <t>英雄エコー</t>
  </si>
  <si>
    <t>ブーメランステップ</t>
  </si>
  <si>
    <t>ファイナルスラッシュ</t>
  </si>
  <si>
    <t>のダメージ上昇を</t>
  </si>
  <si>
    <t>ファイナルブロー</t>
  </si>
  <si>
    <t>クエイク</t>
  </si>
  <si>
    <t>コンボ込み</t>
  </si>
  <si>
    <t>アローレイン</t>
  </si>
  <si>
    <t>アローイラプション</t>
  </si>
  <si>
    <t>ペット</t>
  </si>
  <si>
    <t>アヴェンジャー</t>
  </si>
  <si>
    <t>A.チャージ</t>
  </si>
  <si>
    <t>ラッシュ</t>
  </si>
  <si>
    <t xml:space="preserve">　主に対ボス用の参考としてや、 </t>
  </si>
  <si>
    <t>　自分のステータス管理、こんな装備をしたらどんなステになるだろう等の遊びなどにも使えるかもです。</t>
  </si>
  <si>
    <r>
      <t>　2</t>
    </r>
    <r>
      <rPr>
        <sz val="11"/>
        <rFont val="ＭＳ Ｐゴシック"/>
        <family val="3"/>
      </rPr>
      <t>010/09/10</t>
    </r>
  </si>
  <si>
    <t>ラピッドフィスト</t>
  </si>
  <si>
    <t>・分間ダメージ計算の箇所はスキル名を略してありますが察してください</t>
  </si>
  <si>
    <t>バックエルボー</t>
  </si>
  <si>
    <t>バックエルボー</t>
  </si>
  <si>
    <t>パンチ</t>
  </si>
  <si>
    <t>パンチ</t>
  </si>
  <si>
    <t>溜め時間最大時</t>
  </si>
  <si>
    <t>アッパー</t>
  </si>
  <si>
    <t>ダブルアッパー</t>
  </si>
  <si>
    <t>エナジーオーブ(一体目)</t>
  </si>
  <si>
    <t>弱点最小</t>
  </si>
  <si>
    <t>弱点平均</t>
  </si>
  <si>
    <t>弱点最大</t>
  </si>
  <si>
    <t>Lv</t>
  </si>
  <si>
    <t>クリティカル</t>
  </si>
  <si>
    <t>期待値</t>
  </si>
  <si>
    <t>ベルト</t>
  </si>
  <si>
    <t>エキスパート</t>
  </si>
  <si>
    <t>MH</t>
  </si>
  <si>
    <t>スキル</t>
  </si>
  <si>
    <t>スキルLv</t>
  </si>
  <si>
    <t>シャープ</t>
  </si>
  <si>
    <t>ソンズ</t>
  </si>
  <si>
    <t>使用チャージ</t>
  </si>
  <si>
    <t>プレッシャー</t>
  </si>
  <si>
    <t>P.シャープ</t>
  </si>
  <si>
    <t>フリースキル</t>
  </si>
  <si>
    <t>クリティカルスキルLv</t>
  </si>
  <si>
    <t>ワイルドハンター</t>
  </si>
  <si>
    <t>バルカン</t>
  </si>
  <si>
    <t>ワイルド</t>
  </si>
  <si>
    <t>インスティンクト</t>
  </si>
  <si>
    <t>※バルカン30秒ほどでFAが100切りを起こすため、アクションを挟む必要があります。1分間FA込みで打ち続けることは出来ないのでご注意を</t>
  </si>
  <si>
    <t>ワイルドバルカン</t>
  </si>
  <si>
    <t>防御率減少</t>
  </si>
  <si>
    <t>通常最小</t>
  </si>
  <si>
    <t>通常平均</t>
  </si>
  <si>
    <t>通常最大</t>
  </si>
  <si>
    <t>耐性最小</t>
  </si>
  <si>
    <t>耐性平均</t>
  </si>
  <si>
    <t>耐性最大</t>
  </si>
  <si>
    <t>分間召喚数</t>
  </si>
  <si>
    <t>持続ダメ(通常時)</t>
  </si>
  <si>
    <t>持続ダメージ(通常時)</t>
  </si>
  <si>
    <t>スキルの属性</t>
  </si>
  <si>
    <t>5：ダメージ上昇</t>
  </si>
  <si>
    <t>4：クリティカル率上昇</t>
  </si>
  <si>
    <t>適用</t>
  </si>
  <si>
    <t>ラッキーダイス</t>
  </si>
  <si>
    <t>スーパートランス</t>
  </si>
  <si>
    <t>8発合計</t>
  </si>
  <si>
    <t>6発合計</t>
  </si>
  <si>
    <t>デモリション以外の分間ダメージの算出はここで行ってください</t>
  </si>
  <si>
    <t>2発合計</t>
  </si>
  <si>
    <t>船HP</t>
  </si>
  <si>
    <t>ファイアバーナー</t>
  </si>
  <si>
    <t>アットレビュート</t>
  </si>
  <si>
    <t>ファイアバ-ナ-</t>
  </si>
  <si>
    <t>持続ダメ</t>
  </si>
  <si>
    <t>(5秒+1～3秒されているため)</t>
  </si>
  <si>
    <t>通常単発</t>
  </si>
  <si>
    <t>期待値</t>
  </si>
  <si>
    <t>オ-バ-スイング</t>
  </si>
  <si>
    <t>分間攻撃回数</t>
  </si>
  <si>
    <t>フィスト</t>
  </si>
  <si>
    <t>オーブ</t>
  </si>
  <si>
    <t>2体捕捉</t>
  </si>
  <si>
    <t>3体捕捉</t>
  </si>
  <si>
    <t>4体捕捉</t>
  </si>
  <si>
    <t>5体捕捉</t>
  </si>
  <si>
    <t>6体捕捉</t>
  </si>
  <si>
    <t>フィスト→オーブ</t>
  </si>
  <si>
    <t>フィスト→ドラスト</t>
  </si>
  <si>
    <t>-</t>
  </si>
  <si>
    <t>複数捕捉時との比較(分間ダメージ率)</t>
  </si>
  <si>
    <t>氷耐性時</t>
  </si>
  <si>
    <t>氷通常時</t>
  </si>
  <si>
    <t>氷弱点時</t>
  </si>
  <si>
    <t>イフリートを召喚する場合</t>
  </si>
  <si>
    <t>バハムート</t>
  </si>
  <si>
    <t>MOB形態　特攻効果</t>
  </si>
  <si>
    <t>発生</t>
  </si>
  <si>
    <t>バハムートを召喚する場合</t>
  </si>
  <si>
    <t>聖弱点時</t>
  </si>
  <si>
    <t>聖通常時</t>
  </si>
  <si>
    <t>聖耐性時</t>
  </si>
  <si>
    <t>フェニックス</t>
  </si>
  <si>
    <t>コンボクリティカル</t>
  </si>
  <si>
    <t>クリダメ最小</t>
  </si>
  <si>
    <t>防御無視</t>
  </si>
  <si>
    <t>コンバット</t>
  </si>
  <si>
    <t>マスタリー</t>
  </si>
  <si>
    <t>インレイジ</t>
  </si>
  <si>
    <t>←変更可能</t>
  </si>
  <si>
    <t>・テレポートマスタリーの最大分間回数は98回</t>
  </si>
  <si>
    <t>・テレポートマスタリの分間使用回数は自分で変更可能です</t>
  </si>
  <si>
    <t>使用する</t>
  </si>
  <si>
    <t>ダメージ増加</t>
  </si>
  <si>
    <t>フリズベルク</t>
  </si>
  <si>
    <t>フリズベルク</t>
  </si>
  <si>
    <t>消滅までに与える</t>
  </si>
  <si>
    <t>ダメージ</t>
  </si>
  <si>
    <t>・オクトパスの待機時間は10~15秒でランダムのため15秒とします</t>
  </si>
  <si>
    <t>ブーメランステップ</t>
  </si>
  <si>
    <t>最大累積</t>
  </si>
  <si>
    <t>経過秒数</t>
  </si>
  <si>
    <t>ファイナルアタック</t>
  </si>
  <si>
    <t>ファイナル</t>
  </si>
  <si>
    <t>シーブズ</t>
  </si>
  <si>
    <t>補足数</t>
  </si>
  <si>
    <t>サベッジスタブ</t>
  </si>
  <si>
    <t>チェインヘル</t>
  </si>
  <si>
    <t>フライングアサルター</t>
  </si>
  <si>
    <t>サドンレイド</t>
  </si>
  <si>
    <t>オクトパス召喚あり</t>
  </si>
  <si>
    <t>ラピッドファイア+</t>
  </si>
  <si>
    <t>バトルシップキャノン+</t>
  </si>
  <si>
    <t>期待値</t>
  </si>
  <si>
    <t>アドバンスドLv</t>
  </si>
  <si>
    <t>手裏剣マスタリ</t>
  </si>
  <si>
    <t>アサルター</t>
  </si>
  <si>
    <t>シーブズ</t>
  </si>
  <si>
    <t>サベッジスタブ</t>
  </si>
  <si>
    <t>メルエクスプロージョン</t>
  </si>
  <si>
    <t>グリッド</t>
  </si>
  <si>
    <t>メルプロ</t>
  </si>
  <si>
    <t>爆破個数</t>
  </si>
  <si>
    <t>暗殺FAなし</t>
  </si>
  <si>
    <t>暗殺FAあり</t>
  </si>
  <si>
    <t>・アドバンスドホーミングは　【スキルダメージ率*AH上昇率】で計算してあります</t>
  </si>
  <si>
    <t>暴風の矢</t>
  </si>
  <si>
    <t>火耐性時</t>
  </si>
  <si>
    <t>火通常時</t>
  </si>
  <si>
    <t>火弱点時</t>
  </si>
  <si>
    <t>暴風の矢+フェニックス召喚あり</t>
  </si>
  <si>
    <t>トリプルファイア</t>
  </si>
  <si>
    <t>3発合計</t>
  </si>
  <si>
    <t>トリプルファイア+</t>
  </si>
  <si>
    <t>・オクトパスを召喚した硬直の分、ラピッド・キャノン等の発射数は引かれています</t>
  </si>
  <si>
    <t>ガビオタ召喚あり</t>
  </si>
  <si>
    <t>ガビオタ召喚+</t>
  </si>
  <si>
    <t>ガビオタ召喚+</t>
  </si>
  <si>
    <t>ファイナルアタック</t>
  </si>
  <si>
    <t>･尖晶の矢等の矢を所持している場合でも、ソウルアローを使用すれば攻撃力は増加しません</t>
  </si>
  <si>
    <t>・暗殺の最初の三発には、SEがあれどもクリティカルは発生しません</t>
  </si>
  <si>
    <t>・暗殺使用前のダークサイトの時間は、T16に入力できます</t>
  </si>
  <si>
    <t>・パンチ(タメなし)の計算式はよくわかりませんが、体感で最大の25%の値になってます</t>
  </si>
  <si>
    <t>・WB1は振ってあるだろうと言うことでWB0の場合の攻撃速度はありません</t>
  </si>
  <si>
    <t>サクリファイス</t>
  </si>
  <si>
    <t>反撃待機</t>
  </si>
  <si>
    <t>・ガブアイオータの待機時間は5~10秒でランダムのため10秒とします</t>
  </si>
  <si>
    <t>・オクトパスは召喚してから消えるまでに与えるダメージをひとかたまりとし、</t>
  </si>
  <si>
    <t>　召喚した時点でそのダメージを追加してあります</t>
  </si>
  <si>
    <t>･ガニアのみ速度が6(普通)ですが使わないだろうと言うことで速度6は計算できません</t>
  </si>
  <si>
    <t>薬･他</t>
  </si>
  <si>
    <t>　2009/01/06</t>
  </si>
  <si>
    <t>　Version 1.09</t>
  </si>
  <si>
    <t>　・英雄のコダマが適用可能になりました</t>
  </si>
  <si>
    <t>　・イフリートやフェニックス等の召喚スキルのダメージが計算可能になりました</t>
  </si>
  <si>
    <r>
      <t>　・海賊(バイパー・キャプテン</t>
    </r>
    <r>
      <rPr>
        <sz val="11"/>
        <rFont val="ＭＳ Ｐゴシック"/>
        <family val="3"/>
      </rPr>
      <t>)の分間ダメージが計算可能になりました</t>
    </r>
  </si>
  <si>
    <t>　・召喚スキルを使用する場合の分間ダメージが計算可能になりました</t>
  </si>
  <si>
    <r>
      <t>　・ダメージを計算できるスキルを結構増やしました(範囲攻撃等</t>
    </r>
    <r>
      <rPr>
        <sz val="11"/>
        <rFont val="ＭＳ Ｐゴシック"/>
        <family val="3"/>
      </rPr>
      <t>)</t>
    </r>
  </si>
  <si>
    <r>
      <t>　　・ブースター(小</t>
    </r>
    <r>
      <rPr>
        <sz val="11"/>
        <rFont val="ＭＳ Ｐゴシック"/>
        <family val="3"/>
      </rPr>
      <t>)</t>
    </r>
  </si>
  <si>
    <r>
      <t>　　・スタンス(中</t>
    </r>
    <r>
      <rPr>
        <sz val="11"/>
        <rFont val="ＭＳ Ｐゴシック"/>
        <family val="3"/>
      </rPr>
      <t>)</t>
    </r>
  </si>
  <si>
    <r>
      <t>　　・パワーガード(小</t>
    </r>
    <r>
      <rPr>
        <sz val="11"/>
        <rFont val="ＭＳ Ｐゴシック"/>
        <family val="3"/>
      </rPr>
      <t>)</t>
    </r>
  </si>
  <si>
    <t>デュアルブレイド</t>
  </si>
  <si>
    <t>　ヒーロー</t>
  </si>
  <si>
    <t>　パラディン</t>
  </si>
  <si>
    <r>
      <t>　　・ハイパーボディ(小</t>
    </r>
    <r>
      <rPr>
        <sz val="11"/>
        <rFont val="ＭＳ Ｐゴシック"/>
        <family val="3"/>
      </rPr>
      <t>)</t>
    </r>
  </si>
  <si>
    <t>　　・パワーガード(小)</t>
  </si>
  <si>
    <t>　　・コンボアタック(中)</t>
  </si>
  <si>
    <t>　　・各種チャージ(中)</t>
  </si>
  <si>
    <t>　ボウマスター</t>
  </si>
  <si>
    <t>　クロスボウマスター</t>
  </si>
  <si>
    <t>　ダークナイト</t>
  </si>
  <si>
    <t>　　・ブースター(小)</t>
  </si>
  <si>
    <t>　アークメイジ</t>
  </si>
  <si>
    <r>
      <t>　　・ブースター(大</t>
    </r>
    <r>
      <rPr>
        <sz val="11"/>
        <rFont val="ＭＳ Ｐゴシック"/>
        <family val="3"/>
      </rPr>
      <t>)</t>
    </r>
  </si>
  <si>
    <r>
      <t>　　・マジックガード(小</t>
    </r>
    <r>
      <rPr>
        <sz val="11"/>
        <rFont val="ＭＳ Ｐゴシック"/>
        <family val="3"/>
      </rPr>
      <t>)</t>
    </r>
  </si>
  <si>
    <r>
      <t>　　・メディテーション(小</t>
    </r>
    <r>
      <rPr>
        <sz val="11"/>
        <rFont val="ＭＳ Ｐゴシック"/>
        <family val="3"/>
      </rPr>
      <t>)</t>
    </r>
  </si>
  <si>
    <t>　ビショップ</t>
  </si>
  <si>
    <r>
      <t>　　・ブレス(小</t>
    </r>
    <r>
      <rPr>
        <sz val="11"/>
        <rFont val="ＭＳ Ｐゴシック"/>
        <family val="3"/>
      </rPr>
      <t>)</t>
    </r>
  </si>
  <si>
    <r>
      <t>　　・ホーリーシンボル(大</t>
    </r>
    <r>
      <rPr>
        <sz val="11"/>
        <rFont val="ＭＳ Ｐゴシック"/>
        <family val="3"/>
      </rPr>
      <t>)</t>
    </r>
  </si>
  <si>
    <r>
      <t>　　・ガード(小</t>
    </r>
    <r>
      <rPr>
        <sz val="11"/>
        <rFont val="ＭＳ Ｐゴシック"/>
        <family val="3"/>
      </rPr>
      <t>)</t>
    </r>
  </si>
  <si>
    <r>
      <t>　　・マナリフレッション(中</t>
    </r>
    <r>
      <rPr>
        <sz val="11"/>
        <rFont val="ＭＳ Ｐゴシック"/>
        <family val="3"/>
      </rPr>
      <t>)</t>
    </r>
  </si>
  <si>
    <t>　　・マナリフレッション(中)</t>
  </si>
  <si>
    <t>　シャドー</t>
  </si>
  <si>
    <r>
      <t>　　・メルガード(中</t>
    </r>
    <r>
      <rPr>
        <sz val="11"/>
        <rFont val="ＭＳ Ｐゴシック"/>
        <family val="3"/>
      </rPr>
      <t>)</t>
    </r>
  </si>
  <si>
    <r>
      <t>　　・ヘイスト(小</t>
    </r>
    <r>
      <rPr>
        <sz val="11"/>
        <rFont val="ＭＳ Ｐゴシック"/>
        <family val="3"/>
      </rPr>
      <t>)</t>
    </r>
  </si>
  <si>
    <t>　ナイトロード</t>
  </si>
  <si>
    <r>
      <t>　　・シャドーパートナー(大</t>
    </r>
    <r>
      <rPr>
        <sz val="11"/>
        <rFont val="ＭＳ Ｐゴシック"/>
        <family val="3"/>
      </rPr>
      <t>)</t>
    </r>
  </si>
  <si>
    <t>　バイパー</t>
  </si>
  <si>
    <r>
      <t>　　・ウィンドブースター(中</t>
    </r>
    <r>
      <rPr>
        <sz val="11"/>
        <rFont val="ＭＳ Ｐゴシック"/>
        <family val="3"/>
      </rPr>
      <t>)</t>
    </r>
  </si>
  <si>
    <r>
      <t>　　・ソウルアロー(小</t>
    </r>
    <r>
      <rPr>
        <sz val="11"/>
        <rFont val="ＭＳ Ｐゴシック"/>
        <family val="3"/>
      </rPr>
      <t>)</t>
    </r>
  </si>
  <si>
    <t>　キャプテン</t>
  </si>
  <si>
    <t>攻撃対象の属性</t>
  </si>
  <si>
    <t>チャージ＋</t>
  </si>
  <si>
    <t>属性補正</t>
  </si>
  <si>
    <t>クリ最小ダメージ上昇</t>
  </si>
  <si>
    <t>メイン弱点</t>
  </si>
  <si>
    <t>メイン通常</t>
  </si>
  <si>
    <t>メイン耐性</t>
  </si>
  <si>
    <t>メイン弱点</t>
  </si>
  <si>
    <t>メイン通常</t>
  </si>
  <si>
    <t>メイン耐性</t>
  </si>
  <si>
    <t>総ダメージ率</t>
  </si>
  <si>
    <t>期待値</t>
  </si>
  <si>
    <t>ワイルドトラップ</t>
  </si>
  <si>
    <t>シルバーホーク</t>
  </si>
  <si>
    <t>・バルカンの射出数は攻撃速度に依存しないとし、500発/分で統一</t>
  </si>
  <si>
    <t>･ファイナルアタックは硬直なしで射出　バルカン時200発/分</t>
  </si>
  <si>
    <t>トラップ召喚</t>
  </si>
  <si>
    <t>ホーク召喚</t>
  </si>
  <si>
    <t>１分間に与える</t>
  </si>
  <si>
    <t>ホーク+トラップ</t>
  </si>
  <si>
    <t>・アドバンスドダークオーラの持続ダメージはボスには無効です</t>
  </si>
  <si>
    <t>不明</t>
  </si>
  <si>
    <t>　　　該当しない職業は　ヒーロー　パラディン　ダークナイト　ナイトロード　バトルメイジ</t>
  </si>
  <si>
    <t>　　　　　ワイルドハンター：ワイルドバルカン</t>
  </si>
  <si>
    <t>　　・暴風、ラピッドファイア・ワイルドバルカンはノックバックにより必ず射出が停止する。</t>
  </si>
  <si>
    <t>　　　よってこの3つのスキルはその他のスキルに比べ損失ダメージがかなり大きい</t>
  </si>
  <si>
    <t>　　　　ボウマスター　クロスボウマスター　アークメイジ　ビショップ　ナイトロード　キャプテン　エヴァン　ワイルドハンター</t>
  </si>
  <si>
    <t>　バトルメイジ</t>
  </si>
  <si>
    <t>　ワイルドハンター</t>
  </si>
  <si>
    <r>
      <t>　　・シャープアイズ(中</t>
    </r>
    <r>
      <rPr>
        <sz val="11"/>
        <rFont val="ＭＳ Ｐゴシック"/>
        <family val="3"/>
      </rPr>
      <t>)</t>
    </r>
  </si>
  <si>
    <t>速度4(やや早い)＝グレイヴ　163,103属性棒　エビルウィング　毒キノコ　等</t>
  </si>
  <si>
    <t>速度5(やや早い)＝椎茸</t>
  </si>
  <si>
    <t>速度6(普通)　　＝メイプル系の棒　黄金錫杖　封印錫杖　孫家之棒</t>
  </si>
  <si>
    <t>速度7(やや遅い)＝ウマル系　メガウッドスタッフ　クリムゾンスタッフ</t>
  </si>
  <si>
    <t>速度8(やや遅い)＝ビジター系　通常の棒の大半</t>
  </si>
  <si>
    <r>
      <t>　　・ホーミング(中</t>
    </r>
    <r>
      <rPr>
        <sz val="11"/>
        <rFont val="ＭＳ Ｐゴシック"/>
        <family val="3"/>
      </rPr>
      <t>)</t>
    </r>
  </si>
  <si>
    <r>
      <t>3</t>
    </r>
    <r>
      <rPr>
        <sz val="11"/>
        <rFont val="ＭＳ Ｐゴシック"/>
        <family val="3"/>
      </rPr>
      <t>~9</t>
    </r>
  </si>
  <si>
    <t>　・職業別損失ダメージ目安を追加</t>
  </si>
  <si>
    <t>職業別損失ダメージ目安</t>
  </si>
  <si>
    <t>　その他の考慮点</t>
  </si>
  <si>
    <t>※暴風30秒ほどでFAが100切りを起こすため、アクションを挟む必要があります。1分間FA込みで打ち続けることは出来ないのでご注意を</t>
  </si>
  <si>
    <t>ファイアショット</t>
  </si>
  <si>
    <t>ファイアショット</t>
  </si>
  <si>
    <t>持続ダメ率</t>
  </si>
  <si>
    <t>持続秒数</t>
  </si>
  <si>
    <t>棒</t>
  </si>
  <si>
    <t>持続ダメージ合計</t>
  </si>
  <si>
    <t>持続ダメージ(弱点時)</t>
  </si>
  <si>
    <t>防御減少</t>
  </si>
  <si>
    <t>ボスへのダメージ</t>
  </si>
  <si>
    <t>一分あたりのダメージ(FA込み)</t>
  </si>
  <si>
    <t>トリプル攻撃力(防御修正処理後)</t>
  </si>
  <si>
    <t>一分あたりのダメージ(FA込み)</t>
  </si>
  <si>
    <t>2発合計</t>
  </si>
  <si>
    <t>シャドーパートナー込みの合計</t>
  </si>
  <si>
    <t>ファイナル</t>
  </si>
  <si>
    <t>シャドパ</t>
  </si>
  <si>
    <t>始撃</t>
  </si>
  <si>
    <r>
      <t>(影込み</t>
    </r>
    <r>
      <rPr>
        <sz val="11"/>
        <rFont val="ＭＳ Ｐゴシック"/>
        <family val="3"/>
      </rPr>
      <t>)</t>
    </r>
  </si>
  <si>
    <t>※シャドパダメージは、累積段階が上がるごとに"シャドパのダメージ率そのもの"が倍増</t>
  </si>
  <si>
    <t>ベノム</t>
  </si>
  <si>
    <t>毒有効</t>
  </si>
  <si>
    <r>
      <t>　2011</t>
    </r>
    <r>
      <rPr>
        <sz val="11"/>
        <rFont val="ＭＳ Ｐゴシック"/>
        <family val="3"/>
      </rPr>
      <t>/01/12</t>
    </r>
  </si>
  <si>
    <t>　・全職にダークオーラ適用可能になりました</t>
  </si>
  <si>
    <t>　・バトルメイジのダークオーラの計算を修正</t>
  </si>
  <si>
    <t>　・パラディンの計算シートを大幅に変更</t>
  </si>
  <si>
    <t>　・ワイルドハンターにワイルドトラップ、シルバーホークの計算を追加</t>
  </si>
  <si>
    <t>　Version 1.32</t>
  </si>
  <si>
    <t>　　・以下のスキルは空中での使用が不可能なため、ノックバックのタイミングにより攻撃が遅れる場合がある</t>
  </si>
  <si>
    <t>　　　そのため、該当するスキルを使用する場合、分間ダメージの損失が大きい</t>
  </si>
  <si>
    <t>　　　　　キャプテン：バトルシップキャノン　ラピッドファイア</t>
  </si>
  <si>
    <t>　　　　　バイパー　：アッパー、エネルギー系以外のほとんどのスキル</t>
  </si>
  <si>
    <t>　　　これらの職業は分間ダメージの損失が少ない</t>
  </si>
  <si>
    <t>　　・以下の職業は、相手の雑魚召喚等により軌道が遮られ、ボス本体へダメージが通らなくなる場合がある</t>
  </si>
  <si>
    <t>・いくつかのLvでAPが多くもらえますが、把握しきれていません。</t>
  </si>
  <si>
    <t>　ステータス入力の際は注意してください。</t>
  </si>
  <si>
    <t>分間回数</t>
  </si>
  <si>
    <t>　Version 1.26</t>
  </si>
  <si>
    <t>　・全職にソンズエフェクトを適用できるようしました</t>
  </si>
  <si>
    <t>ブレイブスラッシュ</t>
  </si>
  <si>
    <t>ブレイブスラッシュ</t>
  </si>
  <si>
    <t>　・エヴァン、魔法使い職の分間攻撃力修正</t>
  </si>
  <si>
    <t>　・クァンタムエクスプロージョンの分間ダメージを計算できるようにしました</t>
  </si>
  <si>
    <t>　・ゴーストレタリングの分間ダメージのみ、ダメージ上昇効果適用</t>
  </si>
  <si>
    <t>(MapleStory Ver.1.85時)</t>
  </si>
  <si>
    <t>(TTの場合)</t>
  </si>
  <si>
    <t>　　　そのため以下の職業は、雑魚が召喚されるボスの場合損失ダメージが大きい</t>
  </si>
  <si>
    <t>ブレ</t>
  </si>
  <si>
    <t>MIN</t>
  </si>
  <si>
    <t>AVE</t>
  </si>
  <si>
    <t>MAX</t>
  </si>
  <si>
    <t>フェイタルブロー</t>
  </si>
  <si>
    <r>
      <t>　　　※コンボシステムにより、かけ直し後5</t>
    </r>
    <r>
      <rPr>
        <sz val="11"/>
        <rFont val="ＭＳ Ｐゴシック"/>
        <family val="3"/>
      </rPr>
      <t>~10発の間ダメージ損失あり</t>
    </r>
  </si>
  <si>
    <t>4~7</t>
  </si>
  <si>
    <t>クリティカルスキルLv</t>
  </si>
  <si>
    <t>スキル攻撃力</t>
  </si>
  <si>
    <t>フリースキル</t>
  </si>
  <si>
    <t>スタンマスタリーLv</t>
  </si>
  <si>
    <t>塗られた箇所以外に入力してしまえば、箇所によっては正しく機能しなくなってしまいます。</t>
  </si>
  <si>
    <t xml:space="preserve"> ▼チェックボックス</t>
  </si>
  <si>
    <t xml:space="preserve"> ▼フリースキル</t>
  </si>
  <si>
    <t>　自動でそのスキルのダメージを計算してくれます。</t>
  </si>
  <si>
    <t>　主に2次職以下のスキルを計算にお使いください。</t>
  </si>
  <si>
    <t>　各職にある"フリースキル"。これは、自分の計算したいスキルのダメージ率等を入力すれば、</t>
  </si>
  <si>
    <r>
      <t>※職業の後ろの数値は、小=</t>
    </r>
    <r>
      <rPr>
        <sz val="11"/>
        <rFont val="ＭＳ Ｐゴシック"/>
        <family val="3"/>
      </rPr>
      <t>1,中=2,大=3とした場合の、かけ直しに要する時間の目安です</t>
    </r>
  </si>
  <si>
    <t>スキル解除後のかけなおしスキル　(多いほど損失ダメージも大きい)</t>
  </si>
  <si>
    <t>勲章</t>
  </si>
  <si>
    <t>ベルト</t>
  </si>
  <si>
    <t>ベルト</t>
  </si>
  <si>
    <t>ストレイフ+フリズベルク召喚あり</t>
  </si>
  <si>
    <t>ストレイフ+スナイピング+フリズベルク召喚あり</t>
  </si>
  <si>
    <t>スキル</t>
  </si>
  <si>
    <t>・オーブは最大50秒しか撃てませんが、分間ダメや速度は目安として活用してください</t>
  </si>
  <si>
    <t>アンブッシュ</t>
  </si>
  <si>
    <t>アンブッシュ</t>
  </si>
  <si>
    <t>ダメージ</t>
  </si>
  <si>
    <r>
      <t>　2</t>
    </r>
    <r>
      <rPr>
        <sz val="11"/>
        <rFont val="ＭＳ Ｐゴシック"/>
        <family val="3"/>
      </rPr>
      <t>009/04/15</t>
    </r>
  </si>
  <si>
    <t>　Version 1.10</t>
  </si>
  <si>
    <t>　・シャドー・ナイトロードにアンブッシュを仮追加</t>
  </si>
  <si>
    <t>　・ステータス部にベルト・勲章を追加</t>
  </si>
  <si>
    <t>・スピリットアップと薬,ブラッド,他スキル等との重複は可能</t>
  </si>
  <si>
    <t>・鉾バスターは、槍バスターに比べ攻撃速度2段階分速くなってます</t>
  </si>
  <si>
    <t>-</t>
  </si>
  <si>
    <r>
      <t>　・パラディンのS</t>
    </r>
    <r>
      <rPr>
        <sz val="11"/>
        <rFont val="ＭＳ Ｐゴシック"/>
        <family val="3"/>
      </rPr>
      <t>E0時の計算　キャプテンのタコ・鳥計算式　等細々したとこ修正</t>
    </r>
  </si>
  <si>
    <t>総補正が全職同じになるように設定、製作者の当時の装備が元になってたりなかったり。</t>
  </si>
  <si>
    <r>
      <t>　2</t>
    </r>
    <r>
      <rPr>
        <sz val="11"/>
        <rFont val="ＭＳ Ｐゴシック"/>
        <family val="3"/>
      </rPr>
      <t>009/06/24</t>
    </r>
  </si>
  <si>
    <r>
      <t>　・R</t>
    </r>
    <r>
      <rPr>
        <sz val="11"/>
        <rFont val="ＭＳ Ｐゴシック"/>
        <family val="3"/>
      </rPr>
      <t>eadMe以外のシートの保護解除</t>
    </r>
  </si>
  <si>
    <t>　Version 1.11</t>
  </si>
  <si>
    <t>　Ver.1.11以降の場合、</t>
  </si>
  <si>
    <t>この色の</t>
  </si>
  <si>
    <t>セル以外にも入力、変更が出来るようになりましたが、</t>
  </si>
  <si>
    <t>　この色の</t>
  </si>
  <si>
    <t>箇所以外への入力はしないでください。</t>
  </si>
  <si>
    <t>攻撃回数・補足数</t>
  </si>
  <si>
    <t>ラッキーセブン</t>
  </si>
  <si>
    <t>クリティカルスキルLv</t>
  </si>
  <si>
    <t>入力する必要はありません。</t>
  </si>
  <si>
    <t>　保存してしまった場合はもう一度ダウンロードしなおしてください。</t>
  </si>
  <si>
    <t>魔法攻撃力</t>
  </si>
  <si>
    <t>　　保護の作業とかけっこー面倒だったんですよｗごめんなさい投げます。</t>
  </si>
  <si>
    <r>
      <t>　・L</t>
    </r>
    <r>
      <rPr>
        <sz val="11"/>
        <rFont val="ＭＳ Ｐゴシック"/>
        <family val="3"/>
      </rPr>
      <t>ostDamageシートをReadMeの右部へ移動</t>
    </r>
  </si>
  <si>
    <t>フィスト</t>
  </si>
  <si>
    <t>ドラスト</t>
  </si>
  <si>
    <t>ストレート</t>
  </si>
  <si>
    <t>アッパー</t>
  </si>
  <si>
    <t>オーブ</t>
  </si>
  <si>
    <t>バスター</t>
  </si>
  <si>
    <t>ドレイン</t>
  </si>
  <si>
    <t>デモリ</t>
  </si>
  <si>
    <t>ウェイブ</t>
  </si>
  <si>
    <t>スナッチ</t>
  </si>
  <si>
    <t>ストレート</t>
  </si>
  <si>
    <t>ストレート</t>
  </si>
  <si>
    <t>硬直</t>
  </si>
  <si>
    <t>ディレイ</t>
  </si>
  <si>
    <t>スキル名</t>
  </si>
  <si>
    <t>スキル番号</t>
  </si>
  <si>
    <t>ディレイ</t>
  </si>
  <si>
    <t>パンチ(即)</t>
  </si>
  <si>
    <t>分間ダメージ</t>
  </si>
  <si>
    <t>精霊の祝福</t>
  </si>
  <si>
    <t>6発合計</t>
  </si>
  <si>
    <t>　Version 1.12</t>
  </si>
  <si>
    <t>　・シャドー・バイパーのスキルディレイを修正しました</t>
  </si>
  <si>
    <t>　・スキル「精霊の祝福」を追加しました</t>
  </si>
  <si>
    <t>なし</t>
  </si>
  <si>
    <t>エルボー</t>
  </si>
  <si>
    <t>　・バイパーの分間ダメージ算出方法を変更しました</t>
  </si>
  <si>
    <r>
      <t>　2009/08/</t>
    </r>
    <r>
      <rPr>
        <sz val="11"/>
        <rFont val="ＭＳ Ｐゴシック"/>
        <family val="3"/>
      </rPr>
      <t>10</t>
    </r>
  </si>
  <si>
    <t>　Version 1.13</t>
  </si>
  <si>
    <r>
      <t>　・魔法使い系統で精霊の祝福を使用するとI</t>
    </r>
    <r>
      <rPr>
        <sz val="11"/>
        <rFont val="ＭＳ Ｐゴシック"/>
        <family val="3"/>
      </rPr>
      <t>NTが上がってしまう不具合を修正</t>
    </r>
  </si>
  <si>
    <t>　Version 1.14</t>
  </si>
  <si>
    <t>ミラーイメージ</t>
  </si>
  <si>
    <t>　・ダークナイトのクリティカルダメージの計算式を間違っていたのを修正</t>
  </si>
  <si>
    <t>　2009/08/12</t>
  </si>
  <si>
    <r>
      <t>　2009/0</t>
    </r>
    <r>
      <rPr>
        <sz val="11"/>
        <rFont val="ＭＳ Ｐゴシック"/>
        <family val="3"/>
      </rPr>
      <t>8</t>
    </r>
    <r>
      <rPr>
        <sz val="11"/>
        <rFont val="ＭＳ Ｐゴシック"/>
        <family val="3"/>
      </rPr>
      <t>/2</t>
    </r>
    <r>
      <rPr>
        <sz val="11"/>
        <rFont val="ＭＳ Ｐゴシック"/>
        <family val="3"/>
      </rPr>
      <t>0</t>
    </r>
  </si>
  <si>
    <r>
      <t>　2009/0</t>
    </r>
    <r>
      <rPr>
        <sz val="11"/>
        <rFont val="ＭＳ Ｐゴシック"/>
        <family val="3"/>
      </rPr>
      <t>8</t>
    </r>
    <r>
      <rPr>
        <sz val="11"/>
        <rFont val="ＭＳ Ｐゴシック"/>
        <family val="3"/>
      </rPr>
      <t>/2</t>
    </r>
    <r>
      <rPr>
        <sz val="11"/>
        <rFont val="ＭＳ Ｐゴシック"/>
        <family val="3"/>
      </rPr>
      <t>3</t>
    </r>
  </si>
  <si>
    <t>　Version 1.15</t>
  </si>
  <si>
    <t>　・魔法使い各スキルの熟練度の参照セルを間違っていたのを修正</t>
  </si>
  <si>
    <t>ベルト</t>
  </si>
  <si>
    <t>ペット</t>
  </si>
  <si>
    <t>MH</t>
  </si>
  <si>
    <t>スキル</t>
  </si>
  <si>
    <t>　Version 1.16</t>
  </si>
  <si>
    <t>　・英雄のエコーを追加</t>
  </si>
  <si>
    <r>
      <t>　・デモリションを修正(防御無視</t>
    </r>
    <r>
      <rPr>
        <sz val="11"/>
        <rFont val="ＭＳ Ｐゴシック"/>
        <family val="3"/>
      </rPr>
      <t>)</t>
    </r>
  </si>
  <si>
    <t>フリースキル</t>
  </si>
  <si>
    <t>スキルダメージ率</t>
  </si>
  <si>
    <t>　・バトルシップの待機時間を修正</t>
  </si>
  <si>
    <t>　・英雄のコダマの計算式を修正</t>
  </si>
  <si>
    <r>
      <t>　特に、メイジの「毒」「火」「雷」「氷」や戦士の「片手剣」「両手鈍器」等に注意してください。(炎＝×　火＝○</t>
    </r>
    <r>
      <rPr>
        <sz val="11"/>
        <rFont val="ＭＳ Ｐゴシック"/>
        <family val="3"/>
      </rPr>
      <t>)</t>
    </r>
  </si>
  <si>
    <t>速度5(やや早い)＝エクセキューショナーズ等片手剣全般　砕骨刀 等</t>
  </si>
  <si>
    <t>速度6(普通)＝グレイヴ(両手剣)　両手剣全般　片手斧全般　ジャッドバラアックス　ヘリオス等</t>
  </si>
  <si>
    <t>(MapleStory Ver.1.73時)</t>
  </si>
  <si>
    <r>
      <t>　20</t>
    </r>
    <r>
      <rPr>
        <sz val="11"/>
        <rFont val="ＭＳ Ｐゴシック"/>
        <family val="3"/>
      </rPr>
      <t>10</t>
    </r>
    <r>
      <rPr>
        <sz val="11"/>
        <rFont val="ＭＳ Ｐゴシック"/>
        <family val="3"/>
      </rPr>
      <t>/</t>
    </r>
    <r>
      <rPr>
        <sz val="11"/>
        <rFont val="ＭＳ Ｐゴシック"/>
        <family val="3"/>
      </rPr>
      <t>01</t>
    </r>
    <r>
      <rPr>
        <sz val="11"/>
        <rFont val="ＭＳ Ｐゴシック"/>
        <family val="3"/>
      </rPr>
      <t>/</t>
    </r>
    <r>
      <rPr>
        <sz val="11"/>
        <rFont val="ＭＳ Ｐゴシック"/>
        <family val="3"/>
      </rPr>
      <t>06</t>
    </r>
  </si>
  <si>
    <t>指輪</t>
  </si>
  <si>
    <t>ペット</t>
  </si>
  <si>
    <t>ペット</t>
  </si>
  <si>
    <t>ペット</t>
  </si>
  <si>
    <t>コンボシミュレータ</t>
  </si>
  <si>
    <t>コンボシミュレータについて</t>
  </si>
  <si>
    <t>セルW9:AE30をコンボシミュレータと称してます</t>
  </si>
  <si>
    <t>6つまでのスキルを自由に組み立て、そのコンボの分間ダメージを計算できます</t>
  </si>
  <si>
    <t>スキル番号はW17:AA30を参照してください</t>
  </si>
  <si>
    <t>ディレイより硬直が短い、同じスキルを2つ以上並べるとバグりますごめんなさい</t>
  </si>
  <si>
    <r>
      <t>　2010/04/1</t>
    </r>
    <r>
      <rPr>
        <sz val="11"/>
        <rFont val="ＭＳ Ｐゴシック"/>
        <family val="3"/>
      </rPr>
      <t>3</t>
    </r>
  </si>
  <si>
    <t>　Version 1.22</t>
  </si>
  <si>
    <r>
      <t>　・各職に"フリースキル</t>
    </r>
    <r>
      <rPr>
        <sz val="11"/>
        <rFont val="ＭＳ Ｐゴシック"/>
        <family val="3"/>
      </rPr>
      <t>"計算機能を追加</t>
    </r>
  </si>
  <si>
    <r>
      <t>　・振れるA</t>
    </r>
    <r>
      <rPr>
        <sz val="11"/>
        <rFont val="ＭＳ Ｐゴシック"/>
        <family val="3"/>
      </rPr>
      <t>Pの計算を修正</t>
    </r>
  </si>
  <si>
    <t>　・弓職、海賊の命中：スキル の初期入力値を改善</t>
  </si>
  <si>
    <t>　・バトルシップの耐久力計算式を修正</t>
  </si>
  <si>
    <t>入力されているスキルの繰り返しになりますので、</t>
  </si>
  <si>
    <t>同じスキルをいくつも入力する必要はありません</t>
  </si>
  <si>
    <t>・分間ダメージ計算は、コンボシミュレータ(下記参照)を使用してください</t>
  </si>
  <si>
    <t>単一スキルのみの分間ダメは、スキルを一つ入力するだけで算出できます</t>
  </si>
  <si>
    <t>使い方：スキル番号の右セルの緑色の部分に、対応するスキルの番号を順番に入力するだけ</t>
  </si>
  <si>
    <t>　・デモリションの期待値参照セルを修正</t>
  </si>
  <si>
    <t>　・バイパーシートにコンボシミュレータの説明書きを追加</t>
  </si>
  <si>
    <t>　Version 1.17</t>
  </si>
  <si>
    <t>サポートオクトパス</t>
  </si>
  <si>
    <t>　・全職ステータス入力欄に、指輪欄を3つ・ペット装備欄を追加</t>
  </si>
  <si>
    <t>　Version 1.18</t>
  </si>
  <si>
    <t>(MapleStory Ver.1.75時)</t>
  </si>
  <si>
    <t>　・ボウマスターシートのステ欄でペット・薬等セルが加算されていなかった不具合を修正</t>
  </si>
  <si>
    <t>STR</t>
  </si>
  <si>
    <t>DEX</t>
  </si>
  <si>
    <t>テレポートダメージを</t>
  </si>
  <si>
    <t>上乗せする</t>
  </si>
  <si>
    <t>分間ダメージに</t>
  </si>
  <si>
    <t>チェインライトニング(単一対象時)</t>
  </si>
  <si>
    <t>アイスデーモン</t>
  </si>
  <si>
    <t>ブリザード</t>
  </si>
  <si>
    <t>追加クリ率</t>
  </si>
  <si>
    <t>LUK</t>
  </si>
  <si>
    <t>INT</t>
  </si>
  <si>
    <t>ベルト</t>
  </si>
  <si>
    <t>ペット</t>
  </si>
  <si>
    <t>MH</t>
  </si>
  <si>
    <t>スキル</t>
  </si>
  <si>
    <t>アラン</t>
  </si>
  <si>
    <t>鉾</t>
  </si>
  <si>
    <t>ハイマスタリー</t>
  </si>
  <si>
    <t>通常攻撃</t>
  </si>
  <si>
    <t>ダブルスイング</t>
  </si>
  <si>
    <t>トリプルスイング</t>
  </si>
  <si>
    <t>ファイナルブロー</t>
  </si>
  <si>
    <t>コダマorエコー</t>
  </si>
  <si>
    <t>弱点相手</t>
  </si>
  <si>
    <t>(通常→ダブル→トリプル→ブロー)の分間セット回数</t>
  </si>
  <si>
    <t>(通常→ダブル→トリプル)の分間セット回数</t>
  </si>
  <si>
    <t>ブレスト</t>
  </si>
  <si>
    <t>INT</t>
  </si>
  <si>
    <t>LUK</t>
  </si>
  <si>
    <t>シャープ</t>
  </si>
  <si>
    <t>ソンズ</t>
  </si>
  <si>
    <t>P.シャープ</t>
  </si>
  <si>
    <t>クリティカル</t>
  </si>
  <si>
    <t>その他装備等</t>
  </si>
  <si>
    <t>基本値　</t>
  </si>
  <si>
    <t>合計値　</t>
  </si>
  <si>
    <t>ダークフォース</t>
  </si>
  <si>
    <t>スピリットリベンジ</t>
  </si>
  <si>
    <t>アルティメット</t>
  </si>
  <si>
    <t>ストレイフ</t>
  </si>
  <si>
    <t>一分あたりのダメージ(コンボ100以降)</t>
  </si>
  <si>
    <t>コンボ数</t>
  </si>
  <si>
    <t>攻撃力上昇</t>
  </si>
  <si>
    <t>クリティカル率</t>
  </si>
  <si>
    <t>C.フェンリル</t>
  </si>
  <si>
    <t>C.スマッシュ</t>
  </si>
  <si>
    <t>スノーチャージダメージ率</t>
  </si>
  <si>
    <t>ス　ノ　ー　チ　ャ　ー　ジ　不　使　用</t>
  </si>
  <si>
    <t>ス　ノ　ー　チ　ャ　ー　ジ　使　用　　</t>
  </si>
  <si>
    <t>チャージなし</t>
  </si>
  <si>
    <t>弱点+なし</t>
  </si>
  <si>
    <t>通常+なし</t>
  </si>
  <si>
    <t>弱点+弱点</t>
  </si>
  <si>
    <t>通常+弱点</t>
  </si>
  <si>
    <t>弱点+通常</t>
  </si>
  <si>
    <t>通常+通常</t>
  </si>
  <si>
    <t>弱点+耐性</t>
  </si>
  <si>
    <t>通常+耐性</t>
  </si>
  <si>
    <t>・ダークオーラはダメージではなくステータス攻撃力を上昇させる</t>
  </si>
  <si>
    <t>・スキルは全て単一対象に攻撃した場合のダメージです</t>
  </si>
  <si>
    <t>イリュージョン</t>
  </si>
  <si>
    <t>イリュージョン</t>
  </si>
  <si>
    <t>4発合計</t>
  </si>
  <si>
    <t>ホイール</t>
  </si>
  <si>
    <t>アンプ</t>
  </si>
  <si>
    <t>アースクエイク</t>
  </si>
  <si>
    <t>ダークフォグ</t>
  </si>
  <si>
    <t>M.マスタリー</t>
  </si>
  <si>
    <t>フュｰリー</t>
  </si>
  <si>
    <t>竜頭</t>
  </si>
  <si>
    <t>竜首</t>
  </si>
  <si>
    <r>
      <t>　2010/0</t>
    </r>
    <r>
      <rPr>
        <sz val="11"/>
        <rFont val="ＭＳ Ｐゴシック"/>
        <family val="3"/>
      </rPr>
      <t>7</t>
    </r>
    <r>
      <rPr>
        <sz val="11"/>
        <rFont val="ＭＳ Ｐゴシック"/>
        <family val="3"/>
      </rPr>
      <t>/</t>
    </r>
    <r>
      <rPr>
        <sz val="11"/>
        <rFont val="ＭＳ Ｐゴシック"/>
        <family val="3"/>
      </rPr>
      <t>07</t>
    </r>
  </si>
  <si>
    <t>(MapleStory Ver.1.82時)</t>
  </si>
  <si>
    <t>竜羽</t>
  </si>
  <si>
    <t>竜尾</t>
  </si>
  <si>
    <t>ダークオーラ</t>
  </si>
  <si>
    <t>持続ダメージ</t>
  </si>
  <si>
    <t>分間ダメ</t>
  </si>
  <si>
    <t>・複数相手にスキルを使用した場合、分散がするため算出されたダメージより低くなります</t>
  </si>
  <si>
    <t>・スノーチャージで弱点をつく場合、C21セルにチェックを入れてください</t>
  </si>
  <si>
    <t>主な鉾の速度一覧</t>
  </si>
  <si>
    <t>速度5(やや早い)＝レッドデビル　メイプルフラッグ　サーフボード(紫)</t>
  </si>
  <si>
    <t>ボスダメージ上昇</t>
  </si>
  <si>
    <t>　ファイナルアタックの累積秒数は1秒プラスされています</t>
  </si>
  <si>
    <t>・暗殺発動からファイナルが入るまでに約1秒の時間があるため、</t>
  </si>
  <si>
    <t>始撃(最初の三発)</t>
  </si>
  <si>
    <t>累積後</t>
  </si>
  <si>
    <t>ファイナルアタック</t>
  </si>
  <si>
    <t>速度8(やや遅い)＝チュロイバー・ディエスイレ等鉾全般　スフィア・フレアグレイヴ</t>
  </si>
  <si>
    <r>
      <t>　2010/</t>
    </r>
    <r>
      <rPr>
        <sz val="11"/>
        <rFont val="ＭＳ Ｐゴシック"/>
        <family val="3"/>
      </rPr>
      <t>0</t>
    </r>
    <r>
      <rPr>
        <sz val="11"/>
        <rFont val="ＭＳ Ｐゴシック"/>
        <family val="3"/>
      </rPr>
      <t>1/11　　</t>
    </r>
  </si>
  <si>
    <r>
      <t>　2010/</t>
    </r>
    <r>
      <rPr>
        <sz val="11"/>
        <rFont val="ＭＳ Ｐゴシック"/>
        <family val="3"/>
      </rPr>
      <t>0</t>
    </r>
    <r>
      <rPr>
        <sz val="11"/>
        <rFont val="ＭＳ Ｐゴシック"/>
        <family val="3"/>
      </rPr>
      <t>1/</t>
    </r>
    <r>
      <rPr>
        <sz val="11"/>
        <rFont val="ＭＳ Ｐゴシック"/>
        <family val="3"/>
      </rPr>
      <t>29</t>
    </r>
    <r>
      <rPr>
        <sz val="11"/>
        <rFont val="ＭＳ Ｐゴシック"/>
        <family val="3"/>
      </rPr>
      <t>　</t>
    </r>
  </si>
  <si>
    <r>
      <t>　2010/</t>
    </r>
    <r>
      <rPr>
        <sz val="11"/>
        <rFont val="ＭＳ Ｐゴシック"/>
        <family val="3"/>
      </rPr>
      <t>02</t>
    </r>
    <r>
      <rPr>
        <sz val="11"/>
        <rFont val="ＭＳ Ｐゴシック"/>
        <family val="3"/>
      </rPr>
      <t>/</t>
    </r>
    <r>
      <rPr>
        <sz val="11"/>
        <rFont val="ＭＳ Ｐゴシック"/>
        <family val="3"/>
      </rPr>
      <t>04</t>
    </r>
    <r>
      <rPr>
        <sz val="11"/>
        <rFont val="ＭＳ Ｐゴシック"/>
        <family val="3"/>
      </rPr>
      <t>　</t>
    </r>
  </si>
  <si>
    <t>　Version 1.19</t>
  </si>
  <si>
    <t>　・アランシートを追加</t>
  </si>
  <si>
    <r>
      <t>　・アークメイジのアンプ補正を1</t>
    </r>
    <r>
      <rPr>
        <sz val="11"/>
        <rFont val="ＭＳ Ｐゴシック"/>
        <family val="3"/>
      </rPr>
      <t>.4に修正</t>
    </r>
  </si>
  <si>
    <t>　・スナイピング再使用待機時間を修正</t>
  </si>
  <si>
    <t>　・コダマ・エコーの使用方法を変更</t>
  </si>
  <si>
    <t>C.テンペスト</t>
  </si>
  <si>
    <t>　Version 1.20</t>
  </si>
  <si>
    <t>　・アランシートにコンボテンペストを追加</t>
  </si>
  <si>
    <t>プレッシャー</t>
  </si>
  <si>
    <t>スキルLv</t>
  </si>
  <si>
    <t>防御力減少</t>
  </si>
  <si>
    <r>
      <t>　・プレッシャー(防御力減少</t>
    </r>
    <r>
      <rPr>
        <sz val="11"/>
        <rFont val="ＭＳ Ｐゴシック"/>
        <family val="3"/>
      </rPr>
      <t>)を使用できるようにしました</t>
    </r>
  </si>
  <si>
    <t>E.アンプ</t>
  </si>
  <si>
    <t>氷</t>
  </si>
  <si>
    <t>火</t>
  </si>
  <si>
    <t>　ダメージカンスト値</t>
  </si>
  <si>
    <t>聖</t>
  </si>
  <si>
    <t>弱</t>
  </si>
  <si>
    <t>点</t>
  </si>
  <si>
    <t>通</t>
  </si>
  <si>
    <t>常</t>
  </si>
  <si>
    <t>耐</t>
  </si>
  <si>
    <t>性</t>
  </si>
  <si>
    <t>聖+雷</t>
  </si>
  <si>
    <t>火+雷</t>
  </si>
  <si>
    <t>氷+雷</t>
  </si>
  <si>
    <t>クリティカル</t>
  </si>
  <si>
    <t>総ダメージ率</t>
  </si>
  <si>
    <t>一分あたりのダメージ</t>
  </si>
  <si>
    <t>　Web版で使用する際は、このセルに"1"(半角)を入力する事で、チェックボックスオンと同じ働きをします。</t>
  </si>
  <si>
    <t>肩</t>
  </si>
  <si>
    <t>チャージ倍率表</t>
  </si>
  <si>
    <t>・雷弱点と雷耐性　両方チェックした場合は、弱点の計算になります</t>
  </si>
  <si>
    <t>・チャージ重ねがけの計算式は以下</t>
  </si>
  <si>
    <t>・(雷チャージ補正/10)*弱点補正(/1.2(※))+他チャージ補正*弱点補正</t>
  </si>
  <si>
    <t>・※雷弱点耐性補正は、他チャージに弱点耐性がある場合、÷1.2されます</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</si>
</sst>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000%"/>
    <numFmt numFmtId="180" formatCode="0_);[Red]\(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
    <numFmt numFmtId="187" formatCode="0.0000%"/>
    <numFmt numFmtId="188" formatCode="0.00000%"/>
    <numFmt numFmtId="189" formatCode="0.0000_ "/>
    <numFmt numFmtId="190" formatCode="0.000_ "/>
    <numFmt numFmtId="191" formatCode="0.00_ "/>
  </numFmts>
  <fonts count="2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20"/>
      <color indexed="18"/>
      <name val="HGP創英角ﾎﾟｯﾌﾟ体"/>
      <family val="3"/>
    </font>
    <font>
      <sz val="11"/>
      <color indexed="18"/>
      <name val="ＭＳ Ｐゴシック"/>
      <family val="3"/>
    </font>
    <font>
      <sz val="8"/>
      <name val="ＭＳ Ｐゴシック"/>
      <family val="3"/>
    </font>
    <font>
      <b/>
      <sz val="11"/>
      <name val="ＭＳ Ｐゴシック"/>
      <family val="3"/>
    </font>
    <font>
      <sz val="9"/>
      <name val="ＭＳ Ｐゴシック"/>
      <family val="3"/>
    </font>
    <font>
      <sz val="11"/>
      <color indexed="21"/>
      <name val="ＭＳ Ｐゴシック"/>
      <family val="3"/>
    </font>
    <font>
      <sz val="11"/>
      <color indexed="22"/>
      <name val="ＭＳ Ｐゴシック"/>
      <family val="3"/>
    </font>
    <font>
      <sz val="11"/>
      <color indexed="51"/>
      <name val="ＭＳ Ｐゴシック"/>
      <family val="3"/>
    </font>
    <font>
      <b/>
      <sz val="11"/>
      <color indexed="10"/>
      <name val="ＭＳ Ｐゴシック"/>
      <family val="3"/>
    </font>
    <font>
      <sz val="11"/>
      <color indexed="10"/>
      <name val="ＭＳ Ｐゴシック"/>
      <family val="3"/>
    </font>
    <font>
      <b/>
      <sz val="14"/>
      <name val="ＭＳ Ｐゴシック"/>
      <family val="3"/>
    </font>
    <font>
      <b/>
      <sz val="9"/>
      <name val="ＭＳ Ｐゴシック"/>
      <family val="3"/>
    </font>
    <font>
      <sz val="10"/>
      <name val="ＭＳ Ｐゴシック"/>
      <family val="3"/>
    </font>
    <font>
      <sz val="18"/>
      <color indexed="10"/>
      <name val="ＭＳ Ｐゴシック"/>
      <family val="3"/>
    </font>
    <font>
      <u val="single"/>
      <sz val="11"/>
      <name val="ＭＳ Ｐゴシック"/>
      <family val="3"/>
    </font>
    <font>
      <b/>
      <sz val="10"/>
      <name val="ＭＳ Ｐゴシック"/>
      <family val="3"/>
    </font>
    <font>
      <sz val="11"/>
      <color indexed="53"/>
      <name val="ＭＳ Ｐゴシック"/>
      <family val="3"/>
    </font>
    <font>
      <sz val="11"/>
      <color indexed="9"/>
      <name val="ＭＳ Ｐゴシック"/>
      <family val="3"/>
    </font>
    <font>
      <b/>
      <sz val="12"/>
      <name val="ＭＳ Ｐゴシック"/>
      <family val="3"/>
    </font>
    <font>
      <b/>
      <sz val="16"/>
      <color indexed="53"/>
      <name val="ＭＳ Ｐゴシック"/>
      <family val="3"/>
    </font>
    <font>
      <sz val="16"/>
      <name val="ＭＳ Ｐゴシック"/>
      <family val="3"/>
    </font>
    <font>
      <sz val="9"/>
      <name val="MS UI Gothic"/>
      <family val="3"/>
    </font>
    <font>
      <b/>
      <sz val="16"/>
      <name val="ＭＳ Ｐゴシック"/>
      <family val="3"/>
    </font>
    <font>
      <b/>
      <sz val="11"/>
      <color indexed="42"/>
      <name val="ＭＳ Ｐゴシック"/>
      <family val="3"/>
    </font>
    <font>
      <b/>
      <sz val="11"/>
      <color indexed="9"/>
      <name val="ＭＳ Ｐゴシック"/>
      <family val="3"/>
    </font>
  </fonts>
  <fills count="16">
    <fill>
      <patternFill/>
    </fill>
    <fill>
      <patternFill patternType="gray125"/>
    </fill>
    <fill>
      <patternFill patternType="solid">
        <fgColor indexed="42"/>
        <bgColor indexed="64"/>
      </patternFill>
    </fill>
    <fill>
      <patternFill patternType="solid">
        <fgColor indexed="15"/>
        <bgColor indexed="64"/>
      </patternFill>
    </fill>
    <fill>
      <patternFill patternType="solid">
        <fgColor indexed="45"/>
        <bgColor indexed="64"/>
      </patternFill>
    </fill>
    <fill>
      <patternFill patternType="solid">
        <fgColor indexed="22"/>
        <bgColor indexed="64"/>
      </patternFill>
    </fill>
    <fill>
      <patternFill patternType="solid">
        <fgColor indexed="46"/>
        <bgColor indexed="64"/>
      </patternFill>
    </fill>
    <fill>
      <patternFill patternType="solid">
        <fgColor indexed="13"/>
        <bgColor indexed="64"/>
      </patternFill>
    </fill>
    <fill>
      <patternFill patternType="solid">
        <fgColor indexed="9"/>
        <bgColor indexed="64"/>
      </patternFill>
    </fill>
    <fill>
      <patternFill patternType="solid">
        <fgColor indexed="53"/>
        <bgColor indexed="64"/>
      </patternFill>
    </fill>
    <fill>
      <patternFill patternType="solid">
        <fgColor indexed="44"/>
        <bgColor indexed="64"/>
      </patternFill>
    </fill>
    <fill>
      <patternFill patternType="solid">
        <fgColor indexed="52"/>
        <bgColor indexed="64"/>
      </patternFill>
    </fill>
    <fill>
      <patternFill patternType="solid">
        <fgColor indexed="47"/>
        <bgColor indexed="64"/>
      </patternFill>
    </fill>
    <fill>
      <patternFill patternType="solid">
        <fgColor indexed="50"/>
        <bgColor indexed="64"/>
      </patternFill>
    </fill>
    <fill>
      <patternFill patternType="solid">
        <fgColor indexed="43"/>
        <bgColor indexed="64"/>
      </patternFill>
    </fill>
    <fill>
      <patternFill patternType="solid">
        <fgColor indexed="19"/>
        <bgColor indexed="64"/>
      </patternFill>
    </fill>
  </fills>
  <borders count="138">
    <border>
      <left/>
      <right/>
      <top/>
      <bottom/>
      <diagonal/>
    </border>
    <border>
      <left style="medium"/>
      <right style="thin"/>
      <top style="medium"/>
      <bottom style="thin"/>
    </border>
    <border>
      <left style="thin"/>
      <right>
        <color indexed="63"/>
      </right>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color indexed="63"/>
      </right>
      <top style="thin"/>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color indexed="63"/>
      </right>
      <top>
        <color indexed="63"/>
      </top>
      <bottom style="thin"/>
    </border>
    <border>
      <left style="medium"/>
      <right style="thin"/>
      <top>
        <color indexed="63"/>
      </top>
      <bottom>
        <color indexed="63"/>
      </bottom>
    </border>
    <border>
      <left style="medium"/>
      <right>
        <color indexed="63"/>
      </right>
      <top>
        <color indexed="63"/>
      </top>
      <bottom>
        <color indexed="63"/>
      </bottom>
    </border>
    <border>
      <left>
        <color indexed="63"/>
      </left>
      <right style="thin"/>
      <top style="medium"/>
      <bottom style="thin"/>
    </border>
    <border>
      <left style="medium"/>
      <right style="thin">
        <color indexed="49"/>
      </right>
      <top style="medium">
        <color indexed="49"/>
      </top>
      <bottom style="thin">
        <color indexed="49"/>
      </bottom>
    </border>
    <border>
      <left style="thin">
        <color indexed="49"/>
      </left>
      <right style="medium">
        <color indexed="49"/>
      </right>
      <top style="medium">
        <color indexed="49"/>
      </top>
      <bottom style="thin">
        <color indexed="49"/>
      </bottom>
    </border>
    <border>
      <left style="medium"/>
      <right style="thin">
        <color indexed="49"/>
      </right>
      <top>
        <color indexed="63"/>
      </top>
      <bottom>
        <color indexed="63"/>
      </bottom>
    </border>
    <border>
      <left>
        <color indexed="63"/>
      </left>
      <right style="thin"/>
      <top>
        <color indexed="63"/>
      </top>
      <bottom style="medium"/>
    </border>
    <border>
      <left style="thin"/>
      <right style="medium"/>
      <top>
        <color indexed="63"/>
      </top>
      <bottom style="medium"/>
    </border>
    <border>
      <left style="thin"/>
      <right style="medium"/>
      <top style="medium"/>
      <bottom style="medium"/>
    </border>
    <border>
      <left>
        <color indexed="63"/>
      </left>
      <right style="thin"/>
      <top>
        <color indexed="63"/>
      </top>
      <bottom style="thin"/>
    </border>
    <border>
      <left style="medium"/>
      <right style="thin">
        <color indexed="49"/>
      </right>
      <top style="thin">
        <color indexed="49"/>
      </top>
      <bottom style="thin">
        <color indexed="49"/>
      </bottom>
    </border>
    <border>
      <left>
        <color indexed="63"/>
      </left>
      <right style="thin"/>
      <top style="thin"/>
      <bottom style="thin"/>
    </border>
    <border>
      <left style="thin"/>
      <right>
        <color indexed="63"/>
      </right>
      <top style="thin"/>
      <bottom style="medium"/>
    </border>
    <border>
      <left style="medium"/>
      <right>
        <color indexed="63"/>
      </right>
      <top>
        <color indexed="63"/>
      </top>
      <bottom style="medium"/>
    </border>
    <border>
      <left style="medium"/>
      <right style="thin">
        <color indexed="49"/>
      </right>
      <top>
        <color indexed="63"/>
      </top>
      <bottom style="thin">
        <color indexed="49"/>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style="thin"/>
      <bottom>
        <color indexed="63"/>
      </bottom>
    </border>
    <border>
      <left style="thin"/>
      <right style="medium"/>
      <top style="thin"/>
      <bottom>
        <color indexed="63"/>
      </bottom>
    </border>
    <border>
      <left style="thin"/>
      <right>
        <color indexed="63"/>
      </right>
      <top style="thin"/>
      <bottom style="thin"/>
    </border>
    <border>
      <left style="thin"/>
      <right style="medium"/>
      <top style="medium"/>
      <bottom>
        <color indexed="63"/>
      </bottom>
    </border>
    <border>
      <left style="thin"/>
      <right style="thin"/>
      <top style="thin"/>
      <bottom>
        <color indexed="63"/>
      </bottom>
    </border>
    <border>
      <left style="thin"/>
      <right>
        <color indexed="63"/>
      </right>
      <top>
        <color indexed="63"/>
      </top>
      <bottom style="medium"/>
    </border>
    <border>
      <left style="thin"/>
      <right style="thin"/>
      <top>
        <color indexed="63"/>
      </top>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thin"/>
      <top style="medium"/>
      <bottom>
        <color indexed="63"/>
      </bottom>
    </border>
    <border>
      <left style="thin"/>
      <right>
        <color indexed="63"/>
      </right>
      <top>
        <color indexed="63"/>
      </top>
      <bottom>
        <color indexed="63"/>
      </bottom>
    </border>
    <border>
      <left style="thin"/>
      <right>
        <color indexed="63"/>
      </right>
      <top style="medium"/>
      <bottom>
        <color indexed="63"/>
      </bottom>
    </border>
    <border>
      <left style="medium"/>
      <right style="thin">
        <color indexed="49"/>
      </right>
      <top>
        <color indexed="63"/>
      </top>
      <bottom style="medium"/>
    </border>
    <border>
      <left style="thin">
        <color indexed="49"/>
      </left>
      <right style="medium">
        <color indexed="49"/>
      </right>
      <top style="thin">
        <color indexed="49"/>
      </top>
      <bottom>
        <color indexed="63"/>
      </bottom>
    </border>
    <border>
      <left style="medium"/>
      <right>
        <color indexed="63"/>
      </right>
      <top>
        <color indexed="63"/>
      </top>
      <bottom style="thin">
        <color indexed="49"/>
      </bottom>
    </border>
    <border>
      <left style="thin">
        <color indexed="49"/>
      </left>
      <right style="medium">
        <color indexed="49"/>
      </right>
      <top>
        <color indexed="63"/>
      </top>
      <bottom style="thin">
        <color indexed="49"/>
      </bottom>
    </border>
    <border>
      <left>
        <color indexed="63"/>
      </left>
      <right style="medium"/>
      <top style="thin"/>
      <bottom style="medium"/>
    </border>
    <border>
      <left style="medium"/>
      <right style="medium"/>
      <top style="medium"/>
      <bottom style="medium"/>
    </border>
    <border>
      <left style="thin"/>
      <right style="thin"/>
      <top style="medium"/>
      <bottom>
        <color indexed="63"/>
      </bottom>
    </border>
    <border>
      <left>
        <color indexed="63"/>
      </left>
      <right style="thin"/>
      <top style="medium"/>
      <bottom style="medium"/>
    </border>
    <border>
      <left>
        <color indexed="63"/>
      </left>
      <right>
        <color indexed="63"/>
      </right>
      <top style="medium"/>
      <bottom style="mediu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color indexed="63"/>
      </left>
      <right>
        <color indexed="63"/>
      </right>
      <top style="medium"/>
      <bottom>
        <color indexed="63"/>
      </bottom>
    </border>
    <border>
      <left style="medium"/>
      <right style="thin"/>
      <top style="thin"/>
      <bottom style="double"/>
    </border>
    <border>
      <left style="thin"/>
      <right style="medium"/>
      <top style="thin"/>
      <bottom style="double"/>
    </border>
    <border>
      <left style="medium"/>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color indexed="63"/>
      </top>
      <bottom>
        <color indexed="63"/>
      </bottom>
    </border>
    <border>
      <left>
        <color indexed="63"/>
      </left>
      <right style="medium"/>
      <top style="medium"/>
      <bottom style="medium"/>
    </border>
    <border>
      <left style="medium"/>
      <right style="medium">
        <color indexed="46"/>
      </right>
      <top style="medium"/>
      <bottom style="medium"/>
    </border>
    <border>
      <left style="medium"/>
      <right style="medium">
        <color indexed="46"/>
      </right>
      <top>
        <color indexed="63"/>
      </top>
      <bottom style="thin"/>
    </border>
    <border>
      <left style="medium"/>
      <right style="medium">
        <color indexed="46"/>
      </right>
      <top style="thin"/>
      <bottom style="thin"/>
    </border>
    <border>
      <left style="medium"/>
      <right style="medium">
        <color indexed="46"/>
      </right>
      <top style="thin"/>
      <bottom>
        <color indexed="63"/>
      </bottom>
    </border>
    <border>
      <left style="medium"/>
      <right style="medium">
        <color indexed="46"/>
      </right>
      <top style="medium"/>
      <bottom style="thin"/>
    </border>
    <border>
      <left style="medium"/>
      <right style="medium">
        <color indexed="46"/>
      </right>
      <top style="thin"/>
      <bottom style="medium"/>
    </border>
    <border>
      <left style="thin">
        <color indexed="15"/>
      </left>
      <right style="thin">
        <color indexed="51"/>
      </right>
      <top style="medium"/>
      <bottom style="medium"/>
    </border>
    <border>
      <left>
        <color indexed="63"/>
      </left>
      <right>
        <color indexed="63"/>
      </right>
      <top>
        <color indexed="63"/>
      </top>
      <bottom style="thin"/>
    </border>
    <border>
      <left style="thin">
        <color indexed="15"/>
      </left>
      <right style="thin">
        <color indexed="51"/>
      </right>
      <top>
        <color indexed="63"/>
      </top>
      <bottom style="thin"/>
    </border>
    <border>
      <left>
        <color indexed="63"/>
      </left>
      <right>
        <color indexed="63"/>
      </right>
      <top style="thin"/>
      <bottom style="thin"/>
    </border>
    <border>
      <left style="thin">
        <color indexed="15"/>
      </left>
      <right style="thin">
        <color indexed="51"/>
      </right>
      <top style="thin"/>
      <bottom style="thin"/>
    </border>
    <border>
      <left>
        <color indexed="63"/>
      </left>
      <right>
        <color indexed="63"/>
      </right>
      <top style="thin"/>
      <bottom style="medium"/>
    </border>
    <border>
      <left style="thin">
        <color indexed="15"/>
      </left>
      <right style="thin">
        <color indexed="51"/>
      </right>
      <top style="thin"/>
      <bottom style="medium"/>
    </border>
    <border>
      <left style="thin">
        <color indexed="15"/>
      </left>
      <right style="thin">
        <color indexed="51"/>
      </right>
      <top>
        <color indexed="63"/>
      </top>
      <bottom style="medium"/>
    </border>
    <border>
      <left style="thin">
        <color indexed="15"/>
      </left>
      <right style="thin">
        <color indexed="51"/>
      </right>
      <top style="thin"/>
      <bottom>
        <color indexed="63"/>
      </bottom>
    </border>
    <border>
      <left style="thin">
        <color indexed="15"/>
      </left>
      <right style="thin">
        <color indexed="51"/>
      </right>
      <top style="medium"/>
      <bottom style="thin"/>
    </border>
    <border>
      <left style="medium"/>
      <right style="medium"/>
      <top style="medium"/>
      <bottom style="thin"/>
    </border>
    <border>
      <left style="medium"/>
      <right style="medium"/>
      <top>
        <color indexed="63"/>
      </top>
      <bottom style="mediu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style="thin"/>
      <bottom style="double"/>
    </border>
    <border>
      <left style="medium"/>
      <right>
        <color indexed="63"/>
      </right>
      <top style="thin"/>
      <bottom style="thin"/>
    </border>
    <border>
      <left style="medium"/>
      <right>
        <color indexed="63"/>
      </right>
      <top style="medium"/>
      <bottom style="thin"/>
    </border>
    <border>
      <left style="thin">
        <color indexed="49"/>
      </left>
      <right style="medium">
        <color indexed="49"/>
      </right>
      <top>
        <color indexed="63"/>
      </top>
      <bottom style="medium"/>
    </border>
    <border>
      <left style="thin"/>
      <right style="thin"/>
      <top style="thin"/>
      <bottom style="double"/>
    </border>
    <border>
      <left style="medium"/>
      <right style="medium"/>
      <top style="medium"/>
      <bottom>
        <color indexed="63"/>
      </bottom>
    </border>
    <border>
      <left style="medium"/>
      <right>
        <color indexed="63"/>
      </right>
      <top style="thin"/>
      <bottom style="medium"/>
    </border>
    <border>
      <left style="medium"/>
      <right style="medium"/>
      <top style="thin"/>
      <bottom>
        <color indexed="63"/>
      </bottom>
    </border>
    <border>
      <left style="thin">
        <color indexed="10"/>
      </left>
      <right style="thin">
        <color indexed="51"/>
      </right>
      <top style="medium"/>
      <bottom style="medium"/>
    </border>
    <border>
      <left style="thin">
        <color indexed="10"/>
      </left>
      <right style="thin">
        <color indexed="51"/>
      </right>
      <top>
        <color indexed="63"/>
      </top>
      <bottom style="thin"/>
    </border>
    <border>
      <left style="thin">
        <color indexed="10"/>
      </left>
      <right style="thin">
        <color indexed="51"/>
      </right>
      <top style="thin"/>
      <bottom style="thin"/>
    </border>
    <border>
      <left style="thin">
        <color indexed="10"/>
      </left>
      <right style="thin">
        <color indexed="51"/>
      </right>
      <top style="thin"/>
      <bottom style="medium"/>
    </border>
    <border>
      <left style="thin">
        <color indexed="10"/>
      </left>
      <right style="thin">
        <color indexed="51"/>
      </right>
      <top>
        <color indexed="63"/>
      </top>
      <bottom style="medium"/>
    </border>
    <border>
      <left style="thin">
        <color indexed="10"/>
      </left>
      <right style="thin">
        <color indexed="51"/>
      </right>
      <top style="thin"/>
      <bottom>
        <color indexed="63"/>
      </bottom>
    </border>
    <border>
      <left style="thin">
        <color indexed="10"/>
      </left>
      <right style="thin">
        <color indexed="51"/>
      </right>
      <top style="medium"/>
      <bottom style="thin"/>
    </border>
    <border>
      <left style="medium"/>
      <right style="thin"/>
      <top style="medium"/>
      <bottom style="thin">
        <color indexed="51"/>
      </bottom>
    </border>
    <border>
      <left style="thin"/>
      <right style="thin">
        <color indexed="51"/>
      </right>
      <top style="medium"/>
      <bottom style="thin">
        <color indexed="51"/>
      </bottom>
    </border>
    <border>
      <left style="medium"/>
      <right style="thin"/>
      <top style="thin">
        <color indexed="51"/>
      </top>
      <bottom style="thin">
        <color indexed="10"/>
      </bottom>
    </border>
    <border>
      <left style="thin"/>
      <right>
        <color indexed="63"/>
      </right>
      <top style="thin">
        <color indexed="51"/>
      </top>
      <bottom style="thin">
        <color indexed="10"/>
      </bottom>
    </border>
    <border>
      <left style="medium"/>
      <right style="thin"/>
      <top style="thin">
        <color indexed="10"/>
      </top>
      <bottom style="thin">
        <color indexed="15"/>
      </bottom>
    </border>
    <border>
      <left style="thin"/>
      <right style="thin">
        <color indexed="15"/>
      </right>
      <top style="thin">
        <color indexed="10"/>
      </top>
      <bottom style="thin">
        <color indexed="15"/>
      </bottom>
    </border>
    <border>
      <left style="medium"/>
      <right style="thin"/>
      <top style="thin">
        <color indexed="15"/>
      </top>
      <bottom style="thin">
        <color indexed="46"/>
      </bottom>
    </border>
    <border>
      <left style="thin"/>
      <right>
        <color indexed="63"/>
      </right>
      <top style="thin">
        <color indexed="15"/>
      </top>
      <bottom style="thin">
        <color indexed="46"/>
      </bottom>
    </border>
    <border>
      <left>
        <color indexed="63"/>
      </left>
      <right>
        <color indexed="63"/>
      </right>
      <top style="medium"/>
      <bottom style="thin">
        <color indexed="51"/>
      </bottom>
    </border>
    <border>
      <left style="thin">
        <color indexed="10"/>
      </left>
      <right>
        <color indexed="63"/>
      </right>
      <top style="thin">
        <color indexed="51"/>
      </top>
      <bottom style="thin">
        <color indexed="10"/>
      </bottom>
    </border>
    <border>
      <left>
        <color indexed="63"/>
      </left>
      <right>
        <color indexed="63"/>
      </right>
      <top style="thin">
        <color indexed="10"/>
      </top>
      <bottom style="thin">
        <color indexed="15"/>
      </bottom>
    </border>
    <border>
      <left style="thin">
        <color indexed="46"/>
      </left>
      <right>
        <color indexed="63"/>
      </right>
      <top style="thin">
        <color indexed="15"/>
      </top>
      <bottom style="thin">
        <color indexed="46"/>
      </bottom>
    </border>
    <border>
      <left>
        <color indexed="63"/>
      </left>
      <right style="thin"/>
      <top style="medium"/>
      <bottom>
        <color indexed="63"/>
      </bottom>
    </border>
    <border>
      <left style="medium"/>
      <right>
        <color indexed="63"/>
      </right>
      <top>
        <color indexed="63"/>
      </top>
      <bottom style="thin"/>
    </border>
    <border>
      <left style="medium"/>
      <right>
        <color indexed="63"/>
      </right>
      <top style="medium"/>
      <bottom style="medium">
        <color indexed="49"/>
      </bottom>
    </border>
    <border>
      <left>
        <color indexed="63"/>
      </left>
      <right style="medium">
        <color indexed="49"/>
      </right>
      <top style="medium"/>
      <bottom style="medium">
        <color indexed="49"/>
      </bottom>
    </border>
    <border>
      <left style="medium">
        <color indexed="49"/>
      </left>
      <right>
        <color indexed="63"/>
      </right>
      <top style="thin"/>
      <bottom style="medium"/>
    </border>
    <border>
      <left style="medium">
        <color indexed="46"/>
      </left>
      <right>
        <color indexed="63"/>
      </right>
      <top style="medium">
        <color indexed="46"/>
      </top>
      <bottom>
        <color indexed="63"/>
      </bottom>
    </border>
    <border>
      <left>
        <color indexed="63"/>
      </left>
      <right>
        <color indexed="63"/>
      </right>
      <top style="medium">
        <color indexed="46"/>
      </top>
      <bottom>
        <color indexed="63"/>
      </bottom>
    </border>
    <border>
      <left style="medium"/>
      <right>
        <color indexed="63"/>
      </right>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687">
    <xf numFmtId="0" fontId="0" fillId="0" borderId="0" xfId="0" applyAlignment="1">
      <alignment vertical="center"/>
    </xf>
    <xf numFmtId="0" fontId="0" fillId="0" borderId="1" xfId="0" applyBorder="1" applyAlignment="1">
      <alignment vertical="center"/>
    </xf>
    <xf numFmtId="0" fontId="0" fillId="2" borderId="2"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5" fillId="0" borderId="0" xfId="0" applyFont="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2" borderId="17" xfId="0" applyFill="1" applyBorder="1" applyAlignment="1">
      <alignment vertical="center"/>
    </xf>
    <xf numFmtId="0" fontId="0" fillId="0" borderId="18" xfId="0" applyBorder="1" applyAlignment="1">
      <alignment horizontal="center" vertical="center"/>
    </xf>
    <xf numFmtId="0" fontId="0" fillId="2" borderId="19" xfId="0" applyFill="1" applyBorder="1" applyAlignment="1">
      <alignment vertical="center"/>
    </xf>
    <xf numFmtId="0" fontId="0" fillId="0" borderId="20" xfId="0" applyBorder="1" applyAlignment="1">
      <alignment horizontal="right" vertical="center"/>
    </xf>
    <xf numFmtId="0" fontId="0" fillId="0" borderId="0" xfId="0" applyBorder="1" applyAlignment="1">
      <alignment vertical="center"/>
    </xf>
    <xf numFmtId="0" fontId="0" fillId="0" borderId="21" xfId="0" applyBorder="1" applyAlignment="1">
      <alignment vertical="center"/>
    </xf>
    <xf numFmtId="0" fontId="0" fillId="0" borderId="16" xfId="0" applyBorder="1" applyAlignment="1">
      <alignment horizontal="right" vertical="center"/>
    </xf>
    <xf numFmtId="0" fontId="0" fillId="0" borderId="22" xfId="0" applyBorder="1" applyAlignment="1">
      <alignment horizontal="right" vertical="center"/>
    </xf>
    <xf numFmtId="0" fontId="0" fillId="0" borderId="4" xfId="0" applyFill="1" applyBorder="1" applyAlignment="1">
      <alignment vertical="center"/>
    </xf>
    <xf numFmtId="0" fontId="0" fillId="0" borderId="23" xfId="0" applyBorder="1" applyAlignment="1">
      <alignment horizontal="right" vertical="center"/>
    </xf>
    <xf numFmtId="0" fontId="0" fillId="0" borderId="24" xfId="0" applyFill="1" applyBorder="1" applyAlignment="1">
      <alignment vertical="center"/>
    </xf>
    <xf numFmtId="9" fontId="0" fillId="0" borderId="15" xfId="0" applyNumberFormat="1" applyBorder="1" applyAlignment="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8" xfId="0" applyFill="1" applyBorder="1" applyAlignment="1">
      <alignment horizontal="center" vertical="center"/>
    </xf>
    <xf numFmtId="0" fontId="0" fillId="0" borderId="28" xfId="0" applyFill="1" applyBorder="1" applyAlignment="1">
      <alignment horizontal="center" vertical="center"/>
    </xf>
    <xf numFmtId="0" fontId="0" fillId="3" borderId="23" xfId="0" applyFill="1" applyBorder="1" applyAlignment="1">
      <alignment vertical="center"/>
    </xf>
    <xf numFmtId="9" fontId="0" fillId="0" borderId="29" xfId="0" applyNumberFormat="1" applyBorder="1" applyAlignment="1">
      <alignment vertical="center"/>
    </xf>
    <xf numFmtId="0" fontId="0" fillId="0" borderId="1" xfId="0" applyFill="1" applyBorder="1" applyAlignment="1">
      <alignment vertical="center"/>
    </xf>
    <xf numFmtId="0" fontId="0" fillId="0" borderId="22" xfId="0" applyBorder="1" applyAlignment="1">
      <alignment vertical="center"/>
    </xf>
    <xf numFmtId="0" fontId="0" fillId="3" borderId="30"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xf>
    <xf numFmtId="0" fontId="0" fillId="0" borderId="31"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4" borderId="30" xfId="0" applyFill="1"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7" fillId="0" borderId="14" xfId="0" applyFont="1" applyBorder="1" applyAlignment="1">
      <alignment vertical="center"/>
    </xf>
    <xf numFmtId="0" fontId="0" fillId="4" borderId="34" xfId="0" applyFill="1" applyBorder="1" applyAlignment="1">
      <alignment vertical="center"/>
    </xf>
    <xf numFmtId="9" fontId="0" fillId="0" borderId="35" xfId="0" applyNumberFormat="1"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0" xfId="0" applyFill="1" applyBorder="1" applyAlignment="1">
      <alignment vertical="center"/>
    </xf>
    <xf numFmtId="178" fontId="0" fillId="0" borderId="0" xfId="0" applyNumberFormat="1" applyFill="1" applyBorder="1" applyAlignment="1">
      <alignment vertical="center"/>
    </xf>
    <xf numFmtId="0" fontId="0" fillId="0" borderId="0" xfId="0" applyFill="1" applyBorder="1" applyAlignment="1">
      <alignment vertical="center"/>
    </xf>
    <xf numFmtId="178" fontId="0" fillId="0" borderId="0" xfId="0" applyNumberFormat="1" applyFill="1" applyBorder="1" applyAlignment="1">
      <alignment vertical="center"/>
    </xf>
    <xf numFmtId="176" fontId="7" fillId="0" borderId="0" xfId="0" applyNumberFormat="1" applyFont="1" applyFill="1" applyBorder="1" applyAlignment="1">
      <alignment vertical="center"/>
    </xf>
    <xf numFmtId="0" fontId="0" fillId="0" borderId="40" xfId="0" applyBorder="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41" xfId="0" applyFill="1" applyBorder="1" applyAlignment="1">
      <alignment vertical="center"/>
    </xf>
    <xf numFmtId="0" fontId="11" fillId="0" borderId="0" xfId="0" applyFont="1" applyAlignment="1">
      <alignment vertical="center"/>
    </xf>
    <xf numFmtId="0" fontId="0" fillId="0" borderId="0" xfId="0" applyFill="1" applyBorder="1" applyAlignment="1">
      <alignment horizontal="center" vertical="center"/>
    </xf>
    <xf numFmtId="0" fontId="0" fillId="0" borderId="42" xfId="0" applyBorder="1" applyAlignment="1">
      <alignment vertical="center"/>
    </xf>
    <xf numFmtId="0" fontId="0" fillId="2" borderId="43" xfId="0" applyFill="1" applyBorder="1" applyAlignment="1">
      <alignment vertical="center"/>
    </xf>
    <xf numFmtId="0" fontId="0" fillId="0" borderId="20" xfId="0" applyBorder="1" applyAlignment="1">
      <alignment vertical="center"/>
    </xf>
    <xf numFmtId="0" fontId="0" fillId="0" borderId="44" xfId="0" applyBorder="1" applyAlignment="1">
      <alignment vertical="center"/>
    </xf>
    <xf numFmtId="0" fontId="0" fillId="0" borderId="35" xfId="0" applyBorder="1" applyAlignment="1">
      <alignment vertical="center"/>
    </xf>
    <xf numFmtId="0" fontId="0" fillId="0" borderId="27" xfId="0" applyBorder="1" applyAlignment="1">
      <alignment vertical="center"/>
    </xf>
    <xf numFmtId="9" fontId="0" fillId="0" borderId="27" xfId="0" applyNumberFormat="1" applyBorder="1" applyAlignment="1">
      <alignment vertical="center"/>
    </xf>
    <xf numFmtId="9" fontId="0" fillId="0" borderId="28" xfId="0" applyNumberFormat="1" applyBorder="1" applyAlignment="1">
      <alignment vertical="center"/>
    </xf>
    <xf numFmtId="0" fontId="0" fillId="0" borderId="3" xfId="0" applyBorder="1" applyAlignment="1">
      <alignment vertical="center"/>
    </xf>
    <xf numFmtId="178" fontId="0" fillId="0" borderId="4" xfId="0" applyNumberForma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0" fontId="0" fillId="4" borderId="37" xfId="0" applyFont="1" applyFill="1" applyBorder="1" applyAlignment="1">
      <alignment horizontal="center" vertical="center" wrapText="1"/>
    </xf>
    <xf numFmtId="9" fontId="0" fillId="0" borderId="32" xfId="0" applyNumberFormat="1" applyBorder="1" applyAlignment="1">
      <alignment vertical="center"/>
    </xf>
    <xf numFmtId="0" fontId="0" fillId="0" borderId="28" xfId="0" applyFill="1" applyBorder="1" applyAlignment="1">
      <alignment vertical="center"/>
    </xf>
    <xf numFmtId="0" fontId="0" fillId="0" borderId="28" xfId="0" applyBorder="1" applyAlignment="1">
      <alignment vertical="center"/>
    </xf>
    <xf numFmtId="0" fontId="0" fillId="0" borderId="3" xfId="0" applyBorder="1" applyAlignment="1">
      <alignment horizontal="center" vertical="center"/>
    </xf>
    <xf numFmtId="0" fontId="8" fillId="0" borderId="0" xfId="0" applyFont="1" applyBorder="1" applyAlignment="1">
      <alignment vertical="center"/>
    </xf>
    <xf numFmtId="0" fontId="0" fillId="4" borderId="14" xfId="0" applyFill="1" applyBorder="1" applyAlignment="1">
      <alignment vertical="center"/>
    </xf>
    <xf numFmtId="0" fontId="0" fillId="4" borderId="3" xfId="0" applyFill="1" applyBorder="1" applyAlignment="1">
      <alignment vertical="center"/>
    </xf>
    <xf numFmtId="178" fontId="0" fillId="4" borderId="9" xfId="0" applyNumberFormat="1" applyFill="1" applyBorder="1" applyAlignment="1">
      <alignment vertical="center"/>
    </xf>
    <xf numFmtId="178" fontId="0" fillId="4" borderId="15" xfId="0" applyNumberFormat="1" applyFill="1" applyBorder="1" applyAlignment="1">
      <alignment vertical="center"/>
    </xf>
    <xf numFmtId="0" fontId="0" fillId="0" borderId="11" xfId="0" applyBorder="1" applyAlignment="1">
      <alignment vertical="center"/>
    </xf>
    <xf numFmtId="0" fontId="0" fillId="0" borderId="16" xfId="0" applyFill="1" applyBorder="1" applyAlignment="1">
      <alignment horizontal="right" vertical="center"/>
    </xf>
    <xf numFmtId="0" fontId="0" fillId="0" borderId="28" xfId="0" applyFill="1" applyBorder="1" applyAlignment="1">
      <alignment vertical="center"/>
    </xf>
    <xf numFmtId="0" fontId="0" fillId="0" borderId="8" xfId="0" applyFill="1" applyBorder="1" applyAlignment="1">
      <alignment horizontal="center" vertical="center" shrinkToFit="1"/>
    </xf>
    <xf numFmtId="9" fontId="0" fillId="0" borderId="14" xfId="0" applyNumberFormat="1" applyFill="1" applyBorder="1" applyAlignment="1">
      <alignment horizontal="center" vertical="center"/>
    </xf>
    <xf numFmtId="0" fontId="0" fillId="4" borderId="3" xfId="0" applyFill="1" applyBorder="1" applyAlignment="1">
      <alignment horizontal="center" vertical="center"/>
    </xf>
    <xf numFmtId="0" fontId="0" fillId="4" borderId="8" xfId="0" applyFill="1" applyBorder="1" applyAlignment="1">
      <alignment horizontal="center" vertical="center" shrinkToFit="1"/>
    </xf>
    <xf numFmtId="9" fontId="0" fillId="4" borderId="14" xfId="0" applyNumberFormat="1" applyFill="1" applyBorder="1" applyAlignment="1">
      <alignment horizontal="center" vertical="center"/>
    </xf>
    <xf numFmtId="0" fontId="7" fillId="0" borderId="0" xfId="0" applyFont="1" applyFill="1" applyBorder="1" applyAlignment="1">
      <alignment vertical="center"/>
    </xf>
    <xf numFmtId="0" fontId="0" fillId="0" borderId="45" xfId="0" applyBorder="1" applyAlignment="1">
      <alignment vertical="center"/>
    </xf>
    <xf numFmtId="0" fontId="7" fillId="5" borderId="16" xfId="0" applyNumberFormat="1" applyFont="1" applyFill="1" applyBorder="1" applyAlignment="1">
      <alignment horizontal="right" vertical="center"/>
    </xf>
    <xf numFmtId="0" fontId="7" fillId="5" borderId="18" xfId="0" applyNumberFormat="1" applyFont="1" applyFill="1" applyBorder="1" applyAlignment="1">
      <alignment horizontal="right" vertical="center"/>
    </xf>
    <xf numFmtId="0" fontId="7" fillId="5" borderId="28" xfId="0" applyNumberFormat="1" applyFont="1" applyFill="1" applyBorder="1" applyAlignment="1">
      <alignment horizontal="right" vertical="center"/>
    </xf>
    <xf numFmtId="176" fontId="7" fillId="3" borderId="29" xfId="0" applyNumberFormat="1" applyFont="1" applyFill="1" applyBorder="1" applyAlignment="1">
      <alignment vertical="center"/>
    </xf>
    <xf numFmtId="176" fontId="7" fillId="3" borderId="11" xfId="0" applyNumberFormat="1" applyFont="1" applyFill="1" applyBorder="1" applyAlignment="1">
      <alignment vertical="center"/>
    </xf>
    <xf numFmtId="176" fontId="7" fillId="3" borderId="12" xfId="0" applyNumberFormat="1" applyFont="1" applyFill="1" applyBorder="1" applyAlignment="1">
      <alignment vertical="center"/>
    </xf>
    <xf numFmtId="176" fontId="7" fillId="4" borderId="31" xfId="0" applyNumberFormat="1" applyFont="1" applyFill="1" applyBorder="1" applyAlignment="1">
      <alignment vertical="center"/>
    </xf>
    <xf numFmtId="176" fontId="7" fillId="4" borderId="8" xfId="0" applyNumberFormat="1" applyFont="1" applyFill="1" applyBorder="1" applyAlignment="1">
      <alignment vertical="center"/>
    </xf>
    <xf numFmtId="176" fontId="7" fillId="4" borderId="9" xfId="0" applyNumberFormat="1" applyFont="1" applyFill="1" applyBorder="1" applyAlignment="1">
      <alignment vertical="center"/>
    </xf>
    <xf numFmtId="176" fontId="7" fillId="6" borderId="31" xfId="0" applyNumberFormat="1" applyFont="1" applyFill="1" applyBorder="1" applyAlignment="1">
      <alignment vertical="center"/>
    </xf>
    <xf numFmtId="176" fontId="7" fillId="6" borderId="8" xfId="0" applyNumberFormat="1" applyFont="1" applyFill="1" applyBorder="1" applyAlignment="1">
      <alignment vertical="center"/>
    </xf>
    <xf numFmtId="176" fontId="7" fillId="6" borderId="9" xfId="0" applyNumberFormat="1" applyFont="1" applyFill="1" applyBorder="1" applyAlignment="1">
      <alignment vertical="center"/>
    </xf>
    <xf numFmtId="176" fontId="7" fillId="7" borderId="38" xfId="0" applyNumberFormat="1" applyFont="1" applyFill="1" applyBorder="1" applyAlignment="1">
      <alignment vertical="center"/>
    </xf>
    <xf numFmtId="176" fontId="7" fillId="7" borderId="46" xfId="0" applyNumberFormat="1" applyFont="1" applyFill="1" applyBorder="1" applyAlignment="1">
      <alignment vertical="center"/>
    </xf>
    <xf numFmtId="0" fontId="0" fillId="3" borderId="4" xfId="0" applyFill="1" applyBorder="1" applyAlignment="1">
      <alignment vertical="center" shrinkToFit="1"/>
    </xf>
    <xf numFmtId="176" fontId="7" fillId="3" borderId="22" xfId="0" applyNumberFormat="1" applyFont="1" applyFill="1" applyBorder="1" applyAlignment="1">
      <alignment vertical="center"/>
    </xf>
    <xf numFmtId="176" fontId="7" fillId="3" borderId="47" xfId="0" applyNumberFormat="1" applyFont="1" applyFill="1" applyBorder="1" applyAlignment="1">
      <alignment vertical="center"/>
    </xf>
    <xf numFmtId="0" fontId="0" fillId="4" borderId="9" xfId="0" applyFill="1" applyBorder="1" applyAlignment="1">
      <alignment vertical="center" shrinkToFit="1"/>
    </xf>
    <xf numFmtId="176" fontId="7" fillId="6" borderId="48" xfId="0" applyNumberFormat="1" applyFont="1" applyFill="1" applyBorder="1" applyAlignment="1">
      <alignment vertical="center"/>
    </xf>
    <xf numFmtId="0" fontId="8" fillId="0" borderId="0" xfId="0" applyFont="1" applyFill="1" applyBorder="1" applyAlignment="1">
      <alignment vertical="center"/>
    </xf>
    <xf numFmtId="0" fontId="0" fillId="0" borderId="0" xfId="0" applyBorder="1" applyAlignment="1">
      <alignment vertical="center"/>
    </xf>
    <xf numFmtId="0" fontId="0" fillId="0" borderId="47" xfId="0" applyBorder="1" applyAlignment="1">
      <alignment vertical="center"/>
    </xf>
    <xf numFmtId="0" fontId="4" fillId="0" borderId="0" xfId="0" applyFont="1" applyFill="1" applyBorder="1" applyAlignment="1">
      <alignment vertical="center"/>
    </xf>
    <xf numFmtId="0" fontId="0" fillId="8" borderId="21" xfId="0" applyFont="1" applyFill="1" applyBorder="1" applyAlignment="1">
      <alignment vertical="center" wrapText="1"/>
    </xf>
    <xf numFmtId="0" fontId="0" fillId="8" borderId="0" xfId="0" applyFont="1" applyFill="1" applyBorder="1" applyAlignment="1">
      <alignment vertical="center" wrapText="1"/>
    </xf>
    <xf numFmtId="0" fontId="0" fillId="8" borderId="49" xfId="0" applyFont="1" applyFill="1" applyBorder="1" applyAlignment="1">
      <alignment vertical="center" wrapText="1"/>
    </xf>
    <xf numFmtId="0" fontId="0" fillId="8" borderId="21" xfId="0" applyFill="1" applyBorder="1" applyAlignment="1">
      <alignment horizontal="left" vertical="center"/>
    </xf>
    <xf numFmtId="0" fontId="0" fillId="8" borderId="0" xfId="0" applyFill="1" applyBorder="1" applyAlignment="1">
      <alignment horizontal="left" vertical="center"/>
    </xf>
    <xf numFmtId="0" fontId="0" fillId="8" borderId="49" xfId="0" applyFill="1" applyBorder="1" applyAlignment="1">
      <alignment horizontal="left" vertical="center"/>
    </xf>
    <xf numFmtId="9" fontId="0" fillId="0" borderId="0" xfId="0" applyNumberFormat="1" applyFill="1" applyBorder="1" applyAlignment="1">
      <alignment vertical="center"/>
    </xf>
    <xf numFmtId="0" fontId="0" fillId="2" borderId="21" xfId="0" applyFill="1" applyBorder="1" applyAlignment="1">
      <alignment horizontal="left" vertical="center"/>
    </xf>
    <xf numFmtId="0" fontId="18" fillId="8" borderId="21" xfId="0" applyFont="1" applyFill="1" applyBorder="1" applyAlignment="1">
      <alignment horizontal="left" vertical="center"/>
    </xf>
    <xf numFmtId="0" fontId="0" fillId="9" borderId="0" xfId="0" applyFill="1" applyBorder="1" applyAlignment="1">
      <alignment horizontal="left" vertical="center"/>
    </xf>
    <xf numFmtId="0" fontId="7" fillId="8" borderId="21" xfId="0" applyFont="1" applyFill="1" applyBorder="1" applyAlignment="1">
      <alignment horizontal="left" vertical="center"/>
    </xf>
    <xf numFmtId="0" fontId="0" fillId="8" borderId="21" xfId="0" applyFont="1" applyFill="1" applyBorder="1" applyAlignment="1">
      <alignment horizontal="left" vertical="center"/>
    </xf>
    <xf numFmtId="0" fontId="0" fillId="8" borderId="33" xfId="0" applyFill="1" applyBorder="1" applyAlignment="1">
      <alignment horizontal="left" vertical="center"/>
    </xf>
    <xf numFmtId="0" fontId="0" fillId="8" borderId="50" xfId="0" applyFill="1" applyBorder="1" applyAlignment="1">
      <alignment horizontal="left" vertical="center"/>
    </xf>
    <xf numFmtId="0" fontId="0" fillId="8" borderId="51" xfId="0" applyFill="1" applyBorder="1" applyAlignment="1">
      <alignment horizontal="left" vertical="center"/>
    </xf>
    <xf numFmtId="0" fontId="0" fillId="0" borderId="3" xfId="0" applyFill="1" applyBorder="1" applyAlignment="1">
      <alignment vertical="center"/>
    </xf>
    <xf numFmtId="0" fontId="0" fillId="0" borderId="52" xfId="0" applyBorder="1" applyAlignment="1">
      <alignment vertical="center"/>
    </xf>
    <xf numFmtId="0" fontId="0" fillId="0" borderId="21" xfId="0" applyFill="1" applyBorder="1" applyAlignment="1">
      <alignment vertical="center"/>
    </xf>
    <xf numFmtId="0" fontId="0" fillId="2" borderId="4" xfId="0" applyFill="1" applyBorder="1" applyAlignment="1">
      <alignment vertical="center"/>
    </xf>
    <xf numFmtId="0" fontId="0" fillId="0" borderId="49" xfId="0" applyBorder="1" applyAlignment="1">
      <alignment vertical="center"/>
    </xf>
    <xf numFmtId="0" fontId="0" fillId="0" borderId="49" xfId="0" applyFill="1" applyBorder="1" applyAlignment="1">
      <alignment vertical="center"/>
    </xf>
    <xf numFmtId="0" fontId="0" fillId="0" borderId="33" xfId="0" applyFill="1" applyBorder="1" applyAlignment="1">
      <alignment vertical="center"/>
    </xf>
    <xf numFmtId="9" fontId="0" fillId="0" borderId="51" xfId="0" applyNumberFormat="1" applyFill="1" applyBorder="1" applyAlignment="1">
      <alignment vertical="center"/>
    </xf>
    <xf numFmtId="0" fontId="0" fillId="0" borderId="53" xfId="0" applyFill="1" applyBorder="1" applyAlignment="1">
      <alignment horizontal="right" vertical="center"/>
    </xf>
    <xf numFmtId="0" fontId="0" fillId="0" borderId="15" xfId="0" applyFill="1" applyBorder="1" applyAlignment="1">
      <alignment vertical="center"/>
    </xf>
    <xf numFmtId="0" fontId="0" fillId="0" borderId="2" xfId="0" applyBorder="1" applyAlignment="1">
      <alignment vertical="center"/>
    </xf>
    <xf numFmtId="0" fontId="0" fillId="0" borderId="32" xfId="0" applyFill="1" applyBorder="1" applyAlignment="1">
      <alignment vertical="center"/>
    </xf>
    <xf numFmtId="0" fontId="0" fillId="0" borderId="16" xfId="0" applyFill="1" applyBorder="1" applyAlignment="1">
      <alignment vertical="center"/>
    </xf>
    <xf numFmtId="0" fontId="0" fillId="0" borderId="20" xfId="0" applyFill="1" applyBorder="1" applyAlignment="1">
      <alignment horizontal="right" vertical="center"/>
    </xf>
    <xf numFmtId="0" fontId="0" fillId="0" borderId="35" xfId="0" applyFill="1" applyBorder="1" applyAlignment="1">
      <alignment vertical="center"/>
    </xf>
    <xf numFmtId="0" fontId="0" fillId="0" borderId="21" xfId="0" applyFill="1" applyBorder="1" applyAlignment="1">
      <alignment vertical="center"/>
    </xf>
    <xf numFmtId="0" fontId="0" fillId="0" borderId="49" xfId="0" applyFill="1" applyBorder="1" applyAlignment="1">
      <alignment horizontal="right" vertical="center"/>
    </xf>
    <xf numFmtId="0" fontId="8" fillId="0" borderId="1" xfId="0" applyFont="1" applyBorder="1" applyAlignment="1">
      <alignment vertical="center"/>
    </xf>
    <xf numFmtId="0" fontId="0" fillId="0" borderId="5" xfId="0" applyFill="1" applyBorder="1" applyAlignment="1">
      <alignment vertical="center"/>
    </xf>
    <xf numFmtId="9" fontId="0" fillId="0" borderId="39" xfId="0" applyNumberFormat="1" applyBorder="1" applyAlignment="1">
      <alignment vertical="center"/>
    </xf>
    <xf numFmtId="0" fontId="0" fillId="0" borderId="15" xfId="0" applyNumberFormat="1" applyFill="1" applyBorder="1" applyAlignment="1">
      <alignment vertical="center" shrinkToFit="1"/>
    </xf>
    <xf numFmtId="0" fontId="0" fillId="4" borderId="4" xfId="0" applyNumberFormat="1" applyFill="1" applyBorder="1" applyAlignment="1">
      <alignment vertical="center"/>
    </xf>
    <xf numFmtId="0" fontId="0" fillId="4" borderId="9" xfId="0" applyNumberFormat="1" applyFill="1" applyBorder="1" applyAlignment="1">
      <alignment vertical="center"/>
    </xf>
    <xf numFmtId="0" fontId="0" fillId="4" borderId="15" xfId="0" applyNumberFormat="1" applyFill="1" applyBorder="1" applyAlignment="1">
      <alignment vertical="center"/>
    </xf>
    <xf numFmtId="9" fontId="0" fillId="0" borderId="1" xfId="0" applyNumberFormat="1" applyFill="1" applyBorder="1" applyAlignment="1">
      <alignment vertical="center"/>
    </xf>
    <xf numFmtId="9" fontId="0" fillId="0" borderId="3" xfId="0" applyNumberFormat="1" applyFill="1" applyBorder="1" applyAlignment="1">
      <alignment vertical="center"/>
    </xf>
    <xf numFmtId="9" fontId="0" fillId="0" borderId="4" xfId="0" applyNumberFormat="1" applyFill="1" applyBorder="1" applyAlignment="1">
      <alignment vertical="center"/>
    </xf>
    <xf numFmtId="0" fontId="0" fillId="0" borderId="0" xfId="0" applyNumberFormat="1" applyFont="1" applyFill="1" applyBorder="1" applyAlignment="1">
      <alignment vertical="center"/>
    </xf>
    <xf numFmtId="9" fontId="0" fillId="0" borderId="54" xfId="0" applyNumberFormat="1" applyBorder="1" applyAlignment="1">
      <alignment vertical="center"/>
    </xf>
    <xf numFmtId="0" fontId="8" fillId="0" borderId="0" xfId="0" applyFont="1" applyBorder="1" applyAlignment="1">
      <alignment horizontal="left" vertical="center"/>
    </xf>
    <xf numFmtId="0" fontId="0" fillId="0" borderId="53" xfId="0" applyBorder="1" applyAlignment="1">
      <alignment vertical="center"/>
    </xf>
    <xf numFmtId="0" fontId="0" fillId="2" borderId="55" xfId="0" applyFill="1" applyBorder="1" applyAlignment="1">
      <alignment vertical="center"/>
    </xf>
    <xf numFmtId="0" fontId="0" fillId="0" borderId="55" xfId="0" applyBorder="1" applyAlignment="1">
      <alignment vertical="center"/>
    </xf>
    <xf numFmtId="0" fontId="0" fillId="4" borderId="56" xfId="0" applyFill="1" applyBorder="1" applyAlignment="1">
      <alignment vertical="center"/>
    </xf>
    <xf numFmtId="9" fontId="0" fillId="0" borderId="26" xfId="0" applyNumberFormat="1" applyBorder="1" applyAlignment="1">
      <alignment vertical="center"/>
    </xf>
    <xf numFmtId="0" fontId="0" fillId="4" borderId="11" xfId="0" applyFill="1" applyBorder="1" applyAlignment="1">
      <alignment vertical="center"/>
    </xf>
    <xf numFmtId="0" fontId="0" fillId="0" borderId="57" xfId="0" applyBorder="1" applyAlignment="1">
      <alignment horizontal="center" vertical="center"/>
    </xf>
    <xf numFmtId="0" fontId="0" fillId="3" borderId="58" xfId="0" applyFill="1" applyBorder="1" applyAlignment="1">
      <alignment vertical="center"/>
    </xf>
    <xf numFmtId="9" fontId="0" fillId="0" borderId="24" xfId="0" applyNumberFormat="1" applyBorder="1" applyAlignment="1">
      <alignment vertical="center"/>
    </xf>
    <xf numFmtId="9" fontId="0" fillId="0" borderId="59" xfId="0" applyNumberFormat="1" applyBorder="1" applyAlignment="1">
      <alignment vertical="center"/>
    </xf>
    <xf numFmtId="0" fontId="0" fillId="10" borderId="8" xfId="0" applyFill="1" applyBorder="1" applyAlignment="1">
      <alignment horizontal="center" vertical="center" shrinkToFit="1"/>
    </xf>
    <xf numFmtId="0" fontId="0" fillId="10" borderId="60" xfId="0" applyFill="1" applyBorder="1" applyAlignment="1">
      <alignment vertical="center"/>
    </xf>
    <xf numFmtId="0" fontId="0" fillId="4" borderId="48" xfId="0" applyFill="1" applyBorder="1" applyAlignment="1">
      <alignment vertical="center" shrinkToFit="1"/>
    </xf>
    <xf numFmtId="0" fontId="0" fillId="0" borderId="41" xfId="0" applyBorder="1" applyAlignment="1">
      <alignment vertical="center"/>
    </xf>
    <xf numFmtId="0" fontId="8" fillId="4" borderId="33" xfId="0" applyFont="1" applyFill="1" applyBorder="1" applyAlignment="1">
      <alignment horizontal="center" vertical="center"/>
    </xf>
    <xf numFmtId="0" fontId="0" fillId="10" borderId="33" xfId="0" applyFont="1" applyFill="1" applyBorder="1" applyAlignment="1">
      <alignment horizontal="center" vertical="center"/>
    </xf>
    <xf numFmtId="0" fontId="0" fillId="0" borderId="0" xfId="0" applyFill="1" applyAlignment="1">
      <alignment vertical="center"/>
    </xf>
    <xf numFmtId="0" fontId="8" fillId="0" borderId="61" xfId="0" applyFont="1" applyFill="1" applyBorder="1" applyAlignment="1">
      <alignment vertical="center"/>
    </xf>
    <xf numFmtId="0" fontId="0" fillId="0" borderId="52" xfId="0" applyFill="1" applyBorder="1" applyAlignment="1">
      <alignment vertical="center"/>
    </xf>
    <xf numFmtId="178" fontId="0" fillId="0" borderId="2" xfId="0" applyNumberFormat="1" applyFill="1" applyBorder="1" applyAlignment="1">
      <alignment vertical="center"/>
    </xf>
    <xf numFmtId="178" fontId="0" fillId="0" borderId="40" xfId="0" applyNumberFormat="1" applyFill="1" applyBorder="1" applyAlignment="1">
      <alignment vertical="center"/>
    </xf>
    <xf numFmtId="178" fontId="0" fillId="0" borderId="32" xfId="0" applyNumberFormat="1" applyFill="1" applyBorder="1" applyAlignment="1">
      <alignment vertical="center"/>
    </xf>
    <xf numFmtId="0" fontId="0" fillId="4" borderId="3" xfId="0" applyFill="1" applyBorder="1" applyAlignment="1">
      <alignment horizontal="right" vertical="center"/>
    </xf>
    <xf numFmtId="0" fontId="0" fillId="4" borderId="8" xfId="0" applyFill="1" applyBorder="1" applyAlignment="1">
      <alignment horizontal="right" vertical="center"/>
    </xf>
    <xf numFmtId="0" fontId="0" fillId="4" borderId="14" xfId="0" applyFill="1" applyBorder="1" applyAlignment="1">
      <alignment horizontal="right" vertical="center"/>
    </xf>
    <xf numFmtId="0" fontId="0" fillId="4" borderId="62" xfId="0" applyFill="1" applyBorder="1" applyAlignment="1">
      <alignment vertical="center"/>
    </xf>
    <xf numFmtId="178" fontId="0" fillId="4" borderId="41" xfId="0" applyNumberFormat="1" applyFill="1" applyBorder="1" applyAlignment="1">
      <alignment horizontal="right" vertical="center"/>
    </xf>
    <xf numFmtId="178" fontId="0" fillId="4" borderId="9" xfId="0" applyNumberFormat="1" applyFill="1" applyBorder="1" applyAlignment="1">
      <alignment horizontal="right" vertical="center"/>
    </xf>
    <xf numFmtId="178" fontId="0" fillId="4" borderId="15" xfId="0" applyNumberFormat="1" applyFill="1" applyBorder="1" applyAlignment="1">
      <alignment horizontal="right" vertical="center"/>
    </xf>
    <xf numFmtId="178" fontId="0" fillId="0" borderId="52" xfId="0" applyNumberFormat="1" applyFill="1" applyBorder="1" applyAlignment="1">
      <alignment vertical="center"/>
    </xf>
    <xf numFmtId="0" fontId="0" fillId="0" borderId="63" xfId="0" applyBorder="1" applyAlignment="1">
      <alignment horizontal="center" vertical="center"/>
    </xf>
    <xf numFmtId="0" fontId="0" fillId="0" borderId="27" xfId="0" applyFill="1" applyBorder="1" applyAlignment="1">
      <alignment vertical="center"/>
    </xf>
    <xf numFmtId="0" fontId="0" fillId="0" borderId="18" xfId="0" applyBorder="1" applyAlignment="1">
      <alignment vertical="center"/>
    </xf>
    <xf numFmtId="0" fontId="0" fillId="4" borderId="60" xfId="0" applyFill="1" applyBorder="1" applyAlignment="1">
      <alignment vertical="center" shrinkToFit="1"/>
    </xf>
    <xf numFmtId="0" fontId="0" fillId="0" borderId="47" xfId="0" applyFill="1" applyBorder="1" applyAlignment="1">
      <alignment vertical="center"/>
    </xf>
    <xf numFmtId="176" fontId="0" fillId="0" borderId="0" xfId="0" applyNumberFormat="1" applyAlignment="1">
      <alignment vertical="center"/>
    </xf>
    <xf numFmtId="0" fontId="7" fillId="0" borderId="15" xfId="0" applyNumberFormat="1" applyFont="1" applyBorder="1" applyAlignment="1">
      <alignment vertical="center"/>
    </xf>
    <xf numFmtId="0" fontId="0" fillId="0" borderId="0" xfId="0" applyNumberFormat="1" applyFont="1" applyFill="1" applyBorder="1" applyAlignment="1">
      <alignment vertical="center"/>
    </xf>
    <xf numFmtId="0" fontId="0" fillId="0" borderId="18" xfId="0" applyBorder="1" applyAlignment="1">
      <alignment vertical="center"/>
    </xf>
    <xf numFmtId="0" fontId="0" fillId="0" borderId="52" xfId="0" applyFont="1" applyFill="1" applyBorder="1" applyAlignment="1">
      <alignment horizontal="center" vertical="center"/>
    </xf>
    <xf numFmtId="0" fontId="0" fillId="8" borderId="64" xfId="0" applyFont="1" applyFill="1" applyBorder="1" applyAlignment="1">
      <alignment vertical="center"/>
    </xf>
    <xf numFmtId="0" fontId="0" fillId="0" borderId="64" xfId="0" applyBorder="1" applyAlignment="1">
      <alignment vertical="center"/>
    </xf>
    <xf numFmtId="0" fontId="0" fillId="0" borderId="41" xfId="0" applyBorder="1" applyAlignment="1">
      <alignment vertical="center"/>
    </xf>
    <xf numFmtId="0" fontId="0" fillId="0" borderId="16" xfId="0" applyBorder="1" applyAlignment="1">
      <alignment vertical="center"/>
    </xf>
    <xf numFmtId="0" fontId="0" fillId="11" borderId="28" xfId="0" applyFill="1" applyBorder="1" applyAlignment="1">
      <alignment vertical="center"/>
    </xf>
    <xf numFmtId="0" fontId="0" fillId="0" borderId="2" xfId="0" applyNumberFormat="1" applyFill="1" applyBorder="1" applyAlignment="1">
      <alignment vertical="center"/>
    </xf>
    <xf numFmtId="0" fontId="0" fillId="0" borderId="40" xfId="0" applyNumberFormat="1" applyFill="1" applyBorder="1" applyAlignment="1">
      <alignment vertical="center"/>
    </xf>
    <xf numFmtId="0" fontId="0" fillId="0" borderId="32" xfId="0" applyNumberFormat="1" applyFill="1" applyBorder="1" applyAlignment="1">
      <alignment vertical="center"/>
    </xf>
    <xf numFmtId="178" fontId="0" fillId="4" borderId="12" xfId="0" applyNumberFormat="1" applyFill="1" applyBorder="1" applyAlignment="1">
      <alignment vertical="center"/>
    </xf>
    <xf numFmtId="0" fontId="0" fillId="8" borderId="0" xfId="0" applyFill="1" applyBorder="1" applyAlignment="1">
      <alignment vertical="center"/>
    </xf>
    <xf numFmtId="0" fontId="0" fillId="8" borderId="49" xfId="0" applyFill="1" applyBorder="1" applyAlignment="1">
      <alignment vertical="center"/>
    </xf>
    <xf numFmtId="0" fontId="0" fillId="0" borderId="36" xfId="0" applyFill="1" applyBorder="1" applyAlignment="1">
      <alignment vertical="center"/>
    </xf>
    <xf numFmtId="0" fontId="0" fillId="0" borderId="27" xfId="0" applyFill="1" applyBorder="1" applyAlignment="1">
      <alignment vertical="center"/>
    </xf>
    <xf numFmtId="0" fontId="2" fillId="8" borderId="0" xfId="16" applyFill="1" applyBorder="1" applyAlignment="1">
      <alignment horizontal="left" vertical="center"/>
    </xf>
    <xf numFmtId="0" fontId="0" fillId="2" borderId="12" xfId="0" applyFill="1" applyBorder="1" applyAlignment="1">
      <alignment vertical="center"/>
    </xf>
    <xf numFmtId="0" fontId="0" fillId="3" borderId="14" xfId="0" applyFill="1" applyBorder="1" applyAlignment="1">
      <alignment vertical="center"/>
    </xf>
    <xf numFmtId="9" fontId="0" fillId="12" borderId="15" xfId="0" applyNumberFormat="1" applyFill="1" applyBorder="1" applyAlignment="1">
      <alignment vertical="center"/>
    </xf>
    <xf numFmtId="0" fontId="0" fillId="0" borderId="20" xfId="0" applyFill="1" applyBorder="1" applyAlignment="1">
      <alignment horizontal="center" vertical="center"/>
    </xf>
    <xf numFmtId="0" fontId="0" fillId="0" borderId="35" xfId="0" applyFill="1" applyBorder="1" applyAlignment="1">
      <alignment vertical="center"/>
    </xf>
    <xf numFmtId="9" fontId="0" fillId="0" borderId="35" xfId="0" applyNumberFormat="1" applyFill="1" applyBorder="1" applyAlignment="1">
      <alignment vertical="center"/>
    </xf>
    <xf numFmtId="0" fontId="0" fillId="0" borderId="65" xfId="0" applyFill="1" applyBorder="1" applyAlignment="1">
      <alignment horizontal="center" vertical="center" shrinkToFit="1"/>
    </xf>
    <xf numFmtId="0" fontId="0" fillId="0" borderId="65" xfId="0" applyFill="1" applyBorder="1" applyAlignment="1">
      <alignment vertical="center"/>
    </xf>
    <xf numFmtId="0" fontId="0" fillId="0" borderId="7" xfId="0" applyBorder="1" applyAlignment="1">
      <alignment horizontal="center" vertical="center"/>
    </xf>
    <xf numFmtId="0" fontId="0" fillId="0" borderId="13" xfId="0" applyBorder="1" applyAlignment="1">
      <alignment horizontal="center" vertical="center"/>
    </xf>
    <xf numFmtId="9" fontId="0" fillId="0" borderId="54" xfId="0" applyNumberFormat="1" applyFill="1" applyBorder="1" applyAlignment="1">
      <alignment vertical="center"/>
    </xf>
    <xf numFmtId="0" fontId="0" fillId="0" borderId="16" xfId="0" applyFill="1" applyBorder="1" applyAlignment="1">
      <alignment horizontal="center" vertical="center" shrinkToFit="1"/>
    </xf>
    <xf numFmtId="0" fontId="16" fillId="0" borderId="7" xfId="0" applyFont="1" applyBorder="1" applyAlignment="1">
      <alignment vertical="center"/>
    </xf>
    <xf numFmtId="0" fontId="0" fillId="0" borderId="7" xfId="0" applyFont="1"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51" xfId="0" applyBorder="1" applyAlignment="1">
      <alignment vertical="center"/>
    </xf>
    <xf numFmtId="0" fontId="0" fillId="0" borderId="36" xfId="0" applyFill="1" applyBorder="1" applyAlignment="1">
      <alignment horizontal="center" vertical="center"/>
    </xf>
    <xf numFmtId="0" fontId="0" fillId="0" borderId="1" xfId="0" applyBorder="1" applyAlignment="1">
      <alignment horizontal="right" vertical="center"/>
    </xf>
    <xf numFmtId="0" fontId="0" fillId="0" borderId="9" xfId="0" applyNumberFormat="1" applyBorder="1" applyAlignment="1">
      <alignment vertical="center"/>
    </xf>
    <xf numFmtId="0" fontId="0" fillId="2" borderId="41" xfId="0" applyFill="1" applyBorder="1" applyAlignment="1">
      <alignment vertical="center"/>
    </xf>
    <xf numFmtId="0" fontId="0" fillId="8" borderId="66" xfId="0" applyFont="1" applyFill="1" applyBorder="1" applyAlignment="1">
      <alignment vertical="center"/>
    </xf>
    <xf numFmtId="0" fontId="0" fillId="8" borderId="33" xfId="0" applyFill="1" applyBorder="1" applyAlignment="1">
      <alignment vertical="center"/>
    </xf>
    <xf numFmtId="0" fontId="8" fillId="0" borderId="10" xfId="0" applyFont="1" applyBorder="1" applyAlignment="1">
      <alignment vertical="center"/>
    </xf>
    <xf numFmtId="0" fontId="0" fillId="2" borderId="15" xfId="0" applyFill="1" applyBorder="1" applyAlignment="1">
      <alignment vertical="center"/>
    </xf>
    <xf numFmtId="0" fontId="0" fillId="0" borderId="0" xfId="0" applyNumberFormat="1" applyAlignment="1">
      <alignment vertical="center"/>
    </xf>
    <xf numFmtId="0" fontId="0" fillId="0" borderId="1" xfId="0" applyFont="1" applyFill="1" applyBorder="1" applyAlignment="1">
      <alignment vertical="center"/>
    </xf>
    <xf numFmtId="0" fontId="0" fillId="2" borderId="4" xfId="0" applyFont="1" applyFill="1" applyBorder="1" applyAlignment="1" applyProtection="1">
      <alignment vertical="center"/>
      <protection locked="0"/>
    </xf>
    <xf numFmtId="0" fontId="0" fillId="2" borderId="9" xfId="0" applyFont="1" applyFill="1" applyBorder="1" applyAlignment="1" applyProtection="1">
      <alignment vertical="center"/>
      <protection locked="0"/>
    </xf>
    <xf numFmtId="0" fontId="0" fillId="0" borderId="7" xfId="0" applyFont="1" applyFill="1" applyBorder="1" applyAlignment="1">
      <alignment vertical="center"/>
    </xf>
    <xf numFmtId="0" fontId="13" fillId="0" borderId="0" xfId="0" applyFont="1" applyFill="1" applyBorder="1" applyAlignment="1">
      <alignment vertical="center"/>
    </xf>
    <xf numFmtId="176" fontId="7" fillId="0" borderId="0" xfId="0" applyNumberFormat="1" applyFont="1" applyFill="1" applyBorder="1" applyAlignment="1">
      <alignment vertical="center"/>
    </xf>
    <xf numFmtId="10" fontId="0" fillId="0" borderId="0" xfId="0" applyNumberFormat="1" applyFont="1" applyFill="1" applyBorder="1" applyAlignment="1">
      <alignment vertical="center"/>
    </xf>
    <xf numFmtId="0" fontId="15" fillId="0" borderId="0" xfId="0" applyFont="1" applyFill="1" applyBorder="1" applyAlignment="1">
      <alignment horizontal="center" vertical="center" wrapText="1"/>
    </xf>
    <xf numFmtId="0" fontId="8" fillId="0" borderId="0" xfId="0" applyFont="1" applyFill="1" applyBorder="1" applyAlignment="1">
      <alignment horizontal="right" vertical="center"/>
    </xf>
    <xf numFmtId="9" fontId="7" fillId="0" borderId="0" xfId="0" applyNumberFormat="1" applyFont="1" applyFill="1" applyBorder="1" applyAlignment="1">
      <alignment vertical="center"/>
    </xf>
    <xf numFmtId="0" fontId="0" fillId="0" borderId="7" xfId="0" applyFill="1" applyBorder="1" applyAlignment="1">
      <alignment vertical="center"/>
    </xf>
    <xf numFmtId="9" fontId="0" fillId="0" borderId="12" xfId="0" applyNumberFormat="1" applyBorder="1" applyAlignment="1">
      <alignment vertical="center"/>
    </xf>
    <xf numFmtId="10" fontId="0" fillId="0" borderId="16" xfId="0" applyNumberFormat="1" applyFont="1" applyFill="1" applyBorder="1" applyAlignment="1">
      <alignment horizontal="center" vertical="center"/>
    </xf>
    <xf numFmtId="9" fontId="0" fillId="0" borderId="28" xfId="15" applyFont="1" applyFill="1" applyBorder="1" applyAlignment="1">
      <alignment vertical="center"/>
    </xf>
    <xf numFmtId="0" fontId="0" fillId="0" borderId="36" xfId="0" applyFill="1" applyBorder="1" applyAlignment="1">
      <alignment horizontal="right" vertical="center"/>
    </xf>
    <xf numFmtId="9" fontId="0" fillId="0" borderId="43" xfId="0" applyNumberFormat="1" applyFill="1" applyBorder="1" applyAlignment="1">
      <alignment vertical="center"/>
    </xf>
    <xf numFmtId="0" fontId="0" fillId="4" borderId="22" xfId="0" applyFill="1" applyBorder="1" applyAlignment="1">
      <alignment horizontal="center" vertical="center"/>
    </xf>
    <xf numFmtId="0" fontId="0" fillId="4" borderId="31" xfId="0" applyFill="1" applyBorder="1" applyAlignment="1">
      <alignment horizontal="center" vertical="center" shrinkToFit="1"/>
    </xf>
    <xf numFmtId="9" fontId="0" fillId="4" borderId="68" xfId="0" applyNumberFormat="1" applyFill="1" applyBorder="1" applyAlignment="1">
      <alignment horizontal="center" vertical="center"/>
    </xf>
    <xf numFmtId="0" fontId="0" fillId="4" borderId="42" xfId="0" applyFill="1" applyBorder="1" applyAlignment="1">
      <alignment vertical="center"/>
    </xf>
    <xf numFmtId="0" fontId="0" fillId="8" borderId="20" xfId="0" applyFill="1" applyBorder="1" applyAlignment="1">
      <alignment horizontal="center" vertical="center"/>
    </xf>
    <xf numFmtId="0" fontId="0" fillId="4" borderId="39" xfId="0" applyNumberFormat="1" applyFill="1" applyBorder="1" applyAlignment="1">
      <alignment vertical="center"/>
    </xf>
    <xf numFmtId="0" fontId="0" fillId="0" borderId="20" xfId="0" applyFill="1" applyBorder="1" applyAlignment="1">
      <alignment horizontal="center" vertical="center" shrinkToFit="1"/>
    </xf>
    <xf numFmtId="0" fontId="0" fillId="10" borderId="49" xfId="0" applyNumberFormat="1" applyFill="1" applyBorder="1" applyAlignment="1">
      <alignment vertical="center"/>
    </xf>
    <xf numFmtId="0" fontId="0" fillId="0" borderId="66" xfId="0" applyFill="1" applyBorder="1" applyAlignment="1">
      <alignment horizontal="center" vertical="center"/>
    </xf>
    <xf numFmtId="176" fontId="0" fillId="0" borderId="16" xfId="0" applyNumberFormat="1" applyFont="1" applyFill="1" applyBorder="1" applyAlignment="1">
      <alignment vertical="center"/>
    </xf>
    <xf numFmtId="0" fontId="0" fillId="8" borderId="0" xfId="0" applyFont="1" applyFill="1" applyBorder="1" applyAlignment="1">
      <alignment horizontal="left" vertical="center" wrapText="1"/>
    </xf>
    <xf numFmtId="0" fontId="0" fillId="8" borderId="49" xfId="0" applyFont="1" applyFill="1" applyBorder="1" applyAlignment="1">
      <alignment horizontal="left" vertical="center" wrapText="1"/>
    </xf>
    <xf numFmtId="0" fontId="14" fillId="8" borderId="21" xfId="0" applyFont="1" applyFill="1" applyBorder="1" applyAlignment="1">
      <alignment horizontal="left" vertical="center" wrapText="1"/>
    </xf>
    <xf numFmtId="0" fontId="14" fillId="8" borderId="0" xfId="0" applyFont="1" applyFill="1" applyBorder="1" applyAlignment="1">
      <alignment horizontal="left" vertical="center" wrapText="1"/>
    </xf>
    <xf numFmtId="0" fontId="14" fillId="8" borderId="49" xfId="0" applyFont="1" applyFill="1" applyBorder="1" applyAlignment="1">
      <alignment horizontal="left" vertical="center" wrapText="1"/>
    </xf>
    <xf numFmtId="0" fontId="0" fillId="10" borderId="8" xfId="0" applyFill="1" applyBorder="1" applyAlignment="1">
      <alignment vertical="center"/>
    </xf>
    <xf numFmtId="0" fontId="0" fillId="0" borderId="66" xfId="0" applyFill="1" applyBorder="1" applyAlignment="1">
      <alignment horizontal="right" vertical="center"/>
    </xf>
    <xf numFmtId="0" fontId="0" fillId="0" borderId="53" xfId="0" applyBorder="1" applyAlignment="1">
      <alignment horizontal="right" vertical="center"/>
    </xf>
    <xf numFmtId="9" fontId="0" fillId="0" borderId="41" xfId="0" applyNumberFormat="1" applyBorder="1" applyAlignment="1">
      <alignment vertical="center"/>
    </xf>
    <xf numFmtId="0" fontId="0" fillId="8" borderId="21" xfId="0" applyFont="1" applyFill="1" applyBorder="1" applyAlignment="1">
      <alignment vertical="center"/>
    </xf>
    <xf numFmtId="0" fontId="8" fillId="8" borderId="0" xfId="0" applyFont="1" applyFill="1" applyBorder="1" applyAlignment="1">
      <alignment horizontal="left" vertical="center"/>
    </xf>
    <xf numFmtId="0" fontId="0" fillId="0" borderId="0" xfId="0" applyFill="1" applyBorder="1" applyAlignment="1">
      <alignment horizontal="left" vertical="center"/>
    </xf>
    <xf numFmtId="0" fontId="0" fillId="0" borderId="10" xfId="0" applyBorder="1" applyAlignment="1">
      <alignment horizontal="center" vertical="center"/>
    </xf>
    <xf numFmtId="0" fontId="0" fillId="0" borderId="0" xfId="0" applyFont="1" applyFill="1" applyBorder="1" applyAlignment="1">
      <alignment horizontal="right" vertical="center"/>
    </xf>
    <xf numFmtId="176" fontId="0" fillId="0" borderId="0" xfId="0" applyNumberFormat="1" applyFont="1" applyFill="1" applyBorder="1" applyAlignment="1">
      <alignment horizontal="right" vertical="center"/>
    </xf>
    <xf numFmtId="0" fontId="0" fillId="0" borderId="4" xfId="0" applyFill="1" applyBorder="1" applyAlignment="1">
      <alignment vertical="center"/>
    </xf>
    <xf numFmtId="0" fontId="0" fillId="0" borderId="7" xfId="0" applyFill="1" applyBorder="1" applyAlignment="1">
      <alignment horizontal="center" vertical="center" shrinkToFit="1"/>
    </xf>
    <xf numFmtId="0" fontId="0" fillId="0" borderId="9" xfId="0" applyFill="1" applyBorder="1" applyAlignment="1">
      <alignment vertical="center"/>
    </xf>
    <xf numFmtId="9" fontId="0" fillId="0" borderId="13" xfId="0" applyNumberFormat="1" applyFill="1" applyBorder="1" applyAlignment="1">
      <alignment horizontal="center" vertical="center"/>
    </xf>
    <xf numFmtId="0" fontId="0" fillId="0" borderId="12" xfId="0" applyFill="1" applyBorder="1" applyAlignment="1">
      <alignment vertical="center"/>
    </xf>
    <xf numFmtId="178" fontId="0" fillId="0" borderId="13" xfId="0" applyNumberFormat="1" applyFill="1" applyBorder="1" applyAlignment="1">
      <alignment vertical="center"/>
    </xf>
    <xf numFmtId="0" fontId="0" fillId="0" borderId="15" xfId="0" applyNumberFormat="1" applyFill="1" applyBorder="1" applyAlignment="1">
      <alignment vertical="center"/>
    </xf>
    <xf numFmtId="0" fontId="0" fillId="0" borderId="69" xfId="0" applyFill="1" applyBorder="1" applyAlignment="1">
      <alignment vertical="center" shrinkToFit="1"/>
    </xf>
    <xf numFmtId="0" fontId="0" fillId="2" borderId="39" xfId="0" applyFill="1" applyBorder="1" applyAlignment="1">
      <alignment vertical="center"/>
    </xf>
    <xf numFmtId="0" fontId="8" fillId="0" borderId="21" xfId="0" applyFont="1" applyBorder="1" applyAlignment="1">
      <alignment vertical="center"/>
    </xf>
    <xf numFmtId="0" fontId="6" fillId="0" borderId="1" xfId="0" applyNumberFormat="1" applyFont="1" applyBorder="1" applyAlignment="1">
      <alignment vertical="center"/>
    </xf>
    <xf numFmtId="0" fontId="0" fillId="0" borderId="16" xfId="0" applyFont="1" applyFill="1" applyBorder="1" applyAlignment="1">
      <alignment vertical="center"/>
    </xf>
    <xf numFmtId="9" fontId="0" fillId="0" borderId="28" xfId="0" applyNumberFormat="1" applyFont="1" applyFill="1" applyBorder="1" applyAlignment="1">
      <alignment vertical="center"/>
    </xf>
    <xf numFmtId="185" fontId="7" fillId="0" borderId="0" xfId="0" applyNumberFormat="1" applyFont="1" applyFill="1" applyBorder="1" applyAlignment="1">
      <alignment vertical="center"/>
    </xf>
    <xf numFmtId="0" fontId="0" fillId="0" borderId="53" xfId="0" applyFill="1" applyBorder="1" applyAlignment="1">
      <alignment horizontal="center" vertical="center"/>
    </xf>
    <xf numFmtId="0" fontId="0" fillId="0" borderId="20" xfId="0" applyBorder="1" applyAlignment="1">
      <alignment vertical="center"/>
    </xf>
    <xf numFmtId="9" fontId="0" fillId="0" borderId="41" xfId="0" applyNumberForma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1" xfId="0" applyFill="1" applyBorder="1" applyAlignment="1">
      <alignment horizontal="right" vertical="center"/>
    </xf>
    <xf numFmtId="0" fontId="0" fillId="0" borderId="1" xfId="0" applyFill="1" applyBorder="1" applyAlignment="1">
      <alignment vertical="center"/>
    </xf>
    <xf numFmtId="0" fontId="7" fillId="5" borderId="20" xfId="0" applyNumberFormat="1" applyFont="1" applyFill="1" applyBorder="1" applyAlignment="1">
      <alignment horizontal="right" vertical="center"/>
    </xf>
    <xf numFmtId="0" fontId="7" fillId="5" borderId="44" xfId="0" applyNumberFormat="1" applyFont="1" applyFill="1" applyBorder="1" applyAlignment="1">
      <alignment horizontal="right" vertical="center"/>
    </xf>
    <xf numFmtId="9" fontId="0" fillId="0" borderId="14" xfId="0" applyNumberFormat="1" applyFont="1" applyFill="1" applyBorder="1" applyAlignment="1">
      <alignment vertical="center"/>
    </xf>
    <xf numFmtId="9" fontId="0" fillId="0" borderId="15" xfId="0" applyNumberFormat="1" applyFont="1" applyFill="1" applyBorder="1" applyAlignment="1">
      <alignment vertical="center"/>
    </xf>
    <xf numFmtId="0" fontId="1" fillId="0" borderId="0" xfId="0" applyFont="1" applyFill="1" applyBorder="1" applyAlignment="1">
      <alignment vertical="center"/>
    </xf>
    <xf numFmtId="9" fontId="0" fillId="0" borderId="0" xfId="0" applyNumberFormat="1" applyFont="1" applyFill="1" applyBorder="1" applyAlignment="1">
      <alignment vertical="center"/>
    </xf>
    <xf numFmtId="0" fontId="7" fillId="5" borderId="35" xfId="0" applyNumberFormat="1" applyFont="1" applyFill="1" applyBorder="1" applyAlignment="1">
      <alignment horizontal="right" vertical="center"/>
    </xf>
    <xf numFmtId="9" fontId="0" fillId="0" borderId="3" xfId="0" applyNumberFormat="1" applyFont="1" applyFill="1" applyBorder="1" applyAlignment="1">
      <alignment horizontal="right" vertical="center"/>
    </xf>
    <xf numFmtId="9" fontId="0" fillId="0" borderId="4" xfId="0" applyNumberFormat="1" applyFont="1" applyFill="1" applyBorder="1" applyAlignment="1">
      <alignment horizontal="right" vertical="center"/>
    </xf>
    <xf numFmtId="9" fontId="0" fillId="0" borderId="8" xfId="0" applyNumberFormat="1" applyFont="1" applyFill="1" applyBorder="1" applyAlignment="1">
      <alignment horizontal="right" vertical="center"/>
    </xf>
    <xf numFmtId="9" fontId="0" fillId="0" borderId="9" xfId="0" applyNumberFormat="1" applyFont="1" applyFill="1" applyBorder="1" applyAlignment="1">
      <alignment horizontal="right" vertical="center"/>
    </xf>
    <xf numFmtId="0" fontId="0" fillId="0" borderId="10" xfId="0" applyFont="1" applyBorder="1" applyAlignment="1">
      <alignment vertical="center"/>
    </xf>
    <xf numFmtId="0" fontId="0" fillId="0" borderId="70" xfId="0" applyBorder="1" applyAlignment="1">
      <alignment vertical="center"/>
    </xf>
    <xf numFmtId="0" fontId="0" fillId="2" borderId="71" xfId="0" applyFill="1" applyBorder="1" applyAlignment="1">
      <alignment vertical="center"/>
    </xf>
    <xf numFmtId="0" fontId="8" fillId="0" borderId="70" xfId="0" applyFont="1" applyBorder="1" applyAlignment="1">
      <alignment vertical="center"/>
    </xf>
    <xf numFmtId="0" fontId="0" fillId="0" borderId="10" xfId="0" applyFill="1" applyBorder="1" applyAlignment="1">
      <alignment vertical="center"/>
    </xf>
    <xf numFmtId="0" fontId="0" fillId="0" borderId="0" xfId="0" applyFont="1" applyFill="1" applyBorder="1" applyAlignment="1">
      <alignment horizontal="center" vertical="center"/>
    </xf>
    <xf numFmtId="0" fontId="0" fillId="0" borderId="28" xfId="0" applyBorder="1" applyAlignment="1">
      <alignment vertical="center"/>
    </xf>
    <xf numFmtId="0" fontId="0" fillId="8" borderId="21" xfId="0" applyFill="1" applyBorder="1" applyAlignment="1">
      <alignment vertical="center"/>
    </xf>
    <xf numFmtId="0" fontId="0" fillId="8" borderId="0" xfId="0" applyFill="1" applyBorder="1" applyAlignment="1">
      <alignment vertical="center"/>
    </xf>
    <xf numFmtId="0" fontId="0" fillId="2" borderId="28" xfId="0" applyFill="1" applyBorder="1" applyAlignment="1">
      <alignment vertical="center"/>
    </xf>
    <xf numFmtId="0" fontId="0" fillId="0" borderId="0" xfId="0" applyAlignment="1">
      <alignment vertical="center"/>
    </xf>
    <xf numFmtId="0" fontId="20" fillId="0" borderId="15" xfId="0" applyFont="1" applyFill="1" applyBorder="1" applyAlignment="1">
      <alignment vertical="center"/>
    </xf>
    <xf numFmtId="0" fontId="0" fillId="0" borderId="62" xfId="0" applyFill="1" applyBorder="1" applyAlignment="1">
      <alignment vertical="center"/>
    </xf>
    <xf numFmtId="9" fontId="0" fillId="0" borderId="0" xfId="0" applyNumberFormat="1" applyAlignment="1">
      <alignment vertical="center"/>
    </xf>
    <xf numFmtId="10" fontId="0" fillId="0" borderId="0" xfId="0" applyNumberFormat="1" applyAlignment="1">
      <alignment vertical="center"/>
    </xf>
    <xf numFmtId="0" fontId="7" fillId="8" borderId="49" xfId="0" applyFont="1" applyFill="1" applyBorder="1" applyAlignment="1">
      <alignment horizontal="left" vertical="center"/>
    </xf>
    <xf numFmtId="0" fontId="0" fillId="8" borderId="0" xfId="0" applyFont="1" applyFill="1" applyBorder="1" applyAlignment="1">
      <alignment vertical="center"/>
    </xf>
    <xf numFmtId="0" fontId="7" fillId="8" borderId="21" xfId="0" applyFont="1" applyFill="1" applyBorder="1" applyAlignment="1">
      <alignment vertical="center"/>
    </xf>
    <xf numFmtId="0" fontId="7" fillId="8" borderId="49" xfId="0" applyFont="1" applyFill="1" applyBorder="1" applyAlignment="1">
      <alignment vertical="center"/>
    </xf>
    <xf numFmtId="0" fontId="0" fillId="0" borderId="0" xfId="0" applyFont="1" applyAlignment="1">
      <alignment vertical="center"/>
    </xf>
    <xf numFmtId="0" fontId="0" fillId="8" borderId="21" xfId="0" applyFont="1" applyFill="1" applyBorder="1" applyAlignment="1">
      <alignment vertical="center"/>
    </xf>
    <xf numFmtId="0" fontId="0" fillId="8" borderId="21" xfId="0" applyFont="1" applyFill="1" applyBorder="1" applyAlignment="1">
      <alignment horizontal="left" vertical="center"/>
    </xf>
    <xf numFmtId="0" fontId="0" fillId="8" borderId="0" xfId="0" applyFont="1" applyFill="1" applyBorder="1" applyAlignment="1">
      <alignment vertical="center"/>
    </xf>
    <xf numFmtId="0" fontId="0" fillId="8" borderId="49" xfId="0" applyFont="1" applyFill="1" applyBorder="1" applyAlignment="1">
      <alignment vertical="center"/>
    </xf>
    <xf numFmtId="0" fontId="0" fillId="8" borderId="0" xfId="0" applyFont="1" applyFill="1" applyBorder="1" applyAlignment="1">
      <alignment horizontal="left" vertical="center"/>
    </xf>
    <xf numFmtId="0" fontId="0" fillId="8" borderId="49" xfId="0" applyFont="1" applyFill="1" applyBorder="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horizontal="left" vertical="center"/>
    </xf>
    <xf numFmtId="0" fontId="2" fillId="8" borderId="0" xfId="16" applyFont="1" applyFill="1" applyBorder="1" applyAlignment="1">
      <alignment horizontal="left" vertical="center"/>
    </xf>
    <xf numFmtId="0" fontId="0" fillId="0" borderId="0" xfId="0" applyFont="1" applyAlignment="1">
      <alignment vertical="center"/>
    </xf>
    <xf numFmtId="0" fontId="0" fillId="0" borderId="0" xfId="0" applyFont="1" applyBorder="1" applyAlignment="1">
      <alignment vertical="center"/>
    </xf>
    <xf numFmtId="0" fontId="0" fillId="8" borderId="49" xfId="0" applyFont="1" applyFill="1" applyBorder="1" applyAlignment="1">
      <alignment horizontal="right" vertical="center"/>
    </xf>
    <xf numFmtId="0" fontId="0" fillId="8" borderId="33" xfId="0" applyFont="1" applyFill="1" applyBorder="1" applyAlignment="1">
      <alignment horizontal="left" vertical="center"/>
    </xf>
    <xf numFmtId="0" fontId="0" fillId="8" borderId="50" xfId="0" applyFont="1" applyFill="1" applyBorder="1" applyAlignment="1">
      <alignment horizontal="left" vertical="center"/>
    </xf>
    <xf numFmtId="0" fontId="0" fillId="8" borderId="51" xfId="0" applyFont="1" applyFill="1" applyBorder="1" applyAlignment="1">
      <alignment horizontal="left" vertical="center"/>
    </xf>
    <xf numFmtId="0" fontId="0" fillId="8" borderId="72" xfId="0" applyFont="1" applyFill="1" applyBorder="1" applyAlignment="1">
      <alignment horizontal="left" vertical="center"/>
    </xf>
    <xf numFmtId="0" fontId="0" fillId="8" borderId="73" xfId="0" applyFont="1" applyFill="1" applyBorder="1" applyAlignment="1">
      <alignment horizontal="left" vertical="center"/>
    </xf>
    <xf numFmtId="0" fontId="2" fillId="8" borderId="73" xfId="16" applyFont="1" applyFill="1" applyBorder="1" applyAlignment="1">
      <alignment horizontal="left" vertical="center"/>
    </xf>
    <xf numFmtId="0" fontId="0" fillId="0" borderId="73" xfId="0" applyFont="1" applyBorder="1" applyAlignment="1">
      <alignment vertical="center"/>
    </xf>
    <xf numFmtId="0" fontId="0" fillId="8" borderId="74" xfId="0" applyFont="1" applyFill="1" applyBorder="1" applyAlignment="1">
      <alignment horizontal="left" vertical="center"/>
    </xf>
    <xf numFmtId="0" fontId="0" fillId="8" borderId="50" xfId="0" applyFont="1" applyFill="1" applyBorder="1" applyAlignment="1">
      <alignment vertical="center"/>
    </xf>
    <xf numFmtId="0" fontId="7" fillId="8" borderId="75" xfId="0" applyFont="1" applyFill="1" applyBorder="1" applyAlignment="1">
      <alignment horizontal="left" vertical="center"/>
    </xf>
    <xf numFmtId="0" fontId="0" fillId="8" borderId="76" xfId="0" applyFont="1" applyFill="1" applyBorder="1" applyAlignment="1">
      <alignment horizontal="left" vertical="center"/>
    </xf>
    <xf numFmtId="0" fontId="0" fillId="8" borderId="77" xfId="0" applyFont="1" applyFill="1" applyBorder="1" applyAlignment="1">
      <alignment horizontal="left" vertical="center"/>
    </xf>
    <xf numFmtId="0" fontId="16" fillId="8" borderId="33" xfId="0" applyFont="1" applyFill="1" applyBorder="1" applyAlignment="1">
      <alignment vertical="center"/>
    </xf>
    <xf numFmtId="0" fontId="22" fillId="8" borderId="75" xfId="0" applyFont="1" applyFill="1" applyBorder="1" applyAlignment="1">
      <alignment vertical="center"/>
    </xf>
    <xf numFmtId="0" fontId="0" fillId="8" borderId="76" xfId="0" applyFont="1" applyFill="1" applyBorder="1" applyAlignment="1">
      <alignment vertical="center"/>
    </xf>
    <xf numFmtId="0" fontId="7" fillId="8" borderId="77" xfId="0" applyFont="1" applyFill="1" applyBorder="1" applyAlignment="1">
      <alignment vertical="center"/>
    </xf>
    <xf numFmtId="178" fontId="0" fillId="0" borderId="0" xfId="0" applyNumberFormat="1" applyFont="1" applyFill="1" applyBorder="1" applyAlignment="1">
      <alignment vertical="center"/>
    </xf>
    <xf numFmtId="0" fontId="0" fillId="8" borderId="0" xfId="0" applyFont="1" applyFill="1" applyBorder="1" applyAlignment="1">
      <alignment horizontal="left" vertical="center"/>
    </xf>
    <xf numFmtId="0" fontId="0" fillId="2" borderId="0" xfId="0" applyFill="1" applyBorder="1" applyAlignment="1">
      <alignment horizontal="left" vertical="center"/>
    </xf>
    <xf numFmtId="0" fontId="6" fillId="8" borderId="21" xfId="0" applyFont="1" applyFill="1" applyBorder="1" applyAlignment="1">
      <alignment horizontal="left" vertical="center"/>
    </xf>
    <xf numFmtId="0" fontId="0" fillId="2" borderId="27" xfId="0" applyFill="1" applyBorder="1" applyAlignment="1">
      <alignment vertical="center"/>
    </xf>
    <xf numFmtId="0" fontId="0" fillId="0" borderId="8" xfId="0" applyNumberFormat="1" applyFont="1" applyFill="1" applyBorder="1" applyAlignment="1">
      <alignment horizontal="right" vertical="center"/>
    </xf>
    <xf numFmtId="0" fontId="0" fillId="0" borderId="8" xfId="0" applyNumberFormat="1" applyFont="1" applyFill="1" applyBorder="1" applyAlignment="1">
      <alignment vertical="center"/>
    </xf>
    <xf numFmtId="0" fontId="0" fillId="0" borderId="8" xfId="0" applyNumberFormat="1" applyFont="1" applyFill="1" applyBorder="1" applyAlignment="1">
      <alignment vertical="center"/>
    </xf>
    <xf numFmtId="0" fontId="0" fillId="0" borderId="8" xfId="0" applyFont="1" applyBorder="1" applyAlignment="1">
      <alignment vertical="center"/>
    </xf>
    <xf numFmtId="0" fontId="0" fillId="0" borderId="8" xfId="0" applyNumberFormat="1" applyFont="1" applyBorder="1" applyAlignment="1">
      <alignment vertical="center"/>
    </xf>
    <xf numFmtId="0" fontId="0" fillId="0" borderId="8" xfId="0" applyNumberFormat="1" applyBorder="1" applyAlignment="1">
      <alignment vertical="center"/>
    </xf>
    <xf numFmtId="0" fontId="0" fillId="0" borderId="14" xfId="0" applyNumberFormat="1" applyBorder="1" applyAlignment="1">
      <alignment vertical="center"/>
    </xf>
    <xf numFmtId="0" fontId="0" fillId="0" borderId="11" xfId="0" applyNumberFormat="1" applyBorder="1" applyAlignment="1">
      <alignment vertical="center"/>
    </xf>
    <xf numFmtId="0" fontId="0" fillId="0" borderId="0" xfId="0" applyFill="1" applyBorder="1" applyAlignment="1">
      <alignment vertical="center" shrinkToFit="1"/>
    </xf>
    <xf numFmtId="0" fontId="0" fillId="10" borderId="8" xfId="0" applyNumberFormat="1" applyFont="1" applyFill="1" applyBorder="1" applyAlignment="1">
      <alignment horizontal="right" vertical="center"/>
    </xf>
    <xf numFmtId="0" fontId="0" fillId="10" borderId="8" xfId="0" applyNumberFormat="1" applyFont="1" applyFill="1" applyBorder="1" applyAlignment="1">
      <alignment vertical="center"/>
    </xf>
    <xf numFmtId="0" fontId="0" fillId="10" borderId="8" xfId="0" applyNumberFormat="1" applyFont="1" applyFill="1" applyBorder="1" applyAlignment="1">
      <alignment vertical="center"/>
    </xf>
    <xf numFmtId="0" fontId="0" fillId="10" borderId="8" xfId="0" applyFont="1" applyFill="1" applyBorder="1" applyAlignment="1">
      <alignment vertical="center"/>
    </xf>
    <xf numFmtId="0" fontId="0" fillId="10" borderId="8" xfId="0" applyNumberFormat="1" applyFill="1" applyBorder="1" applyAlignment="1">
      <alignment vertical="center"/>
    </xf>
    <xf numFmtId="0" fontId="0" fillId="10" borderId="18" xfId="0" applyNumberFormat="1" applyFont="1" applyFill="1" applyBorder="1" applyAlignment="1">
      <alignment vertical="center"/>
    </xf>
    <xf numFmtId="0" fontId="0" fillId="0" borderId="18" xfId="0" applyNumberFormat="1" applyFont="1" applyFill="1" applyBorder="1" applyAlignment="1">
      <alignment vertical="center"/>
    </xf>
    <xf numFmtId="0" fontId="0" fillId="10" borderId="14" xfId="0" applyNumberFormat="1" applyFont="1" applyFill="1" applyBorder="1" applyAlignment="1">
      <alignment vertical="center"/>
    </xf>
    <xf numFmtId="0" fontId="0" fillId="0" borderId="14" xfId="0" applyNumberFormat="1" applyFont="1" applyFill="1" applyBorder="1" applyAlignment="1">
      <alignment horizontal="right" vertical="center"/>
    </xf>
    <xf numFmtId="0" fontId="0" fillId="5" borderId="63" xfId="0" applyNumberFormat="1" applyFont="1" applyFill="1" applyBorder="1" applyAlignment="1">
      <alignment vertical="center"/>
    </xf>
    <xf numFmtId="0" fontId="16" fillId="0" borderId="61" xfId="0" applyNumberFormat="1" applyFont="1" applyFill="1" applyBorder="1" applyAlignment="1">
      <alignment vertical="center"/>
    </xf>
    <xf numFmtId="0" fontId="7" fillId="0" borderId="78" xfId="0" applyFont="1" applyBorder="1" applyAlignment="1">
      <alignment vertical="center"/>
    </xf>
    <xf numFmtId="0" fontId="7" fillId="0" borderId="79" xfId="0" applyNumberFormat="1" applyFont="1" applyFill="1" applyBorder="1" applyAlignment="1">
      <alignment vertical="center"/>
    </xf>
    <xf numFmtId="0" fontId="7" fillId="0" borderId="79" xfId="0" applyNumberFormat="1" applyFont="1" applyFill="1" applyBorder="1" applyAlignment="1">
      <alignment vertical="center" wrapText="1"/>
    </xf>
    <xf numFmtId="0" fontId="7" fillId="0" borderId="79" xfId="0" applyFont="1" applyBorder="1" applyAlignment="1">
      <alignment vertical="center"/>
    </xf>
    <xf numFmtId="0" fontId="7" fillId="0" borderId="79" xfId="0" applyNumberFormat="1" applyFont="1" applyBorder="1" applyAlignment="1">
      <alignment vertical="center"/>
    </xf>
    <xf numFmtId="0" fontId="7" fillId="0" borderId="80" xfId="0" applyNumberFormat="1" applyFont="1" applyFill="1" applyBorder="1" applyAlignment="1">
      <alignment vertical="center"/>
    </xf>
    <xf numFmtId="0" fontId="0" fillId="0" borderId="19" xfId="0" applyNumberFormat="1" applyBorder="1" applyAlignment="1">
      <alignment vertical="center"/>
    </xf>
    <xf numFmtId="0" fontId="0" fillId="0" borderId="40" xfId="0" applyNumberFormat="1" applyBorder="1" applyAlignment="1">
      <alignment vertical="center"/>
    </xf>
    <xf numFmtId="0" fontId="0" fillId="0" borderId="32" xfId="0" applyNumberFormat="1" applyBorder="1" applyAlignment="1">
      <alignment vertical="center"/>
    </xf>
    <xf numFmtId="9" fontId="0" fillId="0" borderId="8" xfId="0" applyNumberFormat="1" applyFont="1" applyFill="1" applyBorder="1" applyAlignment="1">
      <alignment vertical="center"/>
    </xf>
    <xf numFmtId="9" fontId="0" fillId="0" borderId="3" xfId="0" applyNumberFormat="1" applyFont="1" applyFill="1" applyBorder="1" applyAlignment="1">
      <alignment vertical="center"/>
    </xf>
    <xf numFmtId="9" fontId="0" fillId="0" borderId="9" xfId="0" applyNumberFormat="1" applyFont="1" applyFill="1" applyBorder="1" applyAlignment="1">
      <alignment vertical="center"/>
    </xf>
    <xf numFmtId="0" fontId="0" fillId="0" borderId="0" xfId="0" applyFont="1" applyFill="1" applyBorder="1" applyAlignment="1">
      <alignment vertical="center"/>
    </xf>
    <xf numFmtId="0" fontId="0" fillId="0" borderId="40" xfId="0" applyFill="1" applyBorder="1" applyAlignment="1">
      <alignment vertical="center"/>
    </xf>
    <xf numFmtId="0" fontId="0" fillId="0" borderId="0" xfId="0" applyNumberFormat="1" applyBorder="1" applyAlignment="1">
      <alignment vertical="center"/>
    </xf>
    <xf numFmtId="0" fontId="16" fillId="0" borderId="36" xfId="0" applyFont="1" applyBorder="1" applyAlignment="1">
      <alignment vertical="center"/>
    </xf>
    <xf numFmtId="0" fontId="0" fillId="2" borderId="37" xfId="0" applyNumberFormat="1" applyFill="1" applyBorder="1" applyAlignment="1">
      <alignment vertical="center"/>
    </xf>
    <xf numFmtId="0" fontId="0" fillId="2" borderId="27" xfId="0" applyNumberFormat="1" applyFill="1" applyBorder="1" applyAlignment="1">
      <alignment vertical="center"/>
    </xf>
    <xf numFmtId="0" fontId="0" fillId="0" borderId="17" xfId="0" applyNumberFormat="1" applyFont="1" applyFill="1" applyBorder="1" applyAlignment="1">
      <alignment vertical="center"/>
    </xf>
    <xf numFmtId="0" fontId="0" fillId="0" borderId="19" xfId="0" applyBorder="1" applyAlignment="1">
      <alignment vertical="center"/>
    </xf>
    <xf numFmtId="0" fontId="0" fillId="0" borderId="69" xfId="0" applyBorder="1" applyAlignment="1">
      <alignment vertical="center"/>
    </xf>
    <xf numFmtId="0" fontId="0" fillId="10" borderId="1" xfId="0" applyFill="1" applyBorder="1" applyAlignment="1">
      <alignment horizontal="center" vertical="center"/>
    </xf>
    <xf numFmtId="0" fontId="24" fillId="0" borderId="0" xfId="0" applyFont="1" applyFill="1" applyBorder="1" applyAlignment="1">
      <alignment vertical="center"/>
    </xf>
    <xf numFmtId="0" fontId="0" fillId="10" borderId="4" xfId="0" applyFill="1" applyBorder="1" applyAlignment="1">
      <alignment vertical="center"/>
    </xf>
    <xf numFmtId="0" fontId="0" fillId="0" borderId="16" xfId="0" applyFill="1" applyBorder="1" applyAlignment="1">
      <alignment vertical="center"/>
    </xf>
    <xf numFmtId="0" fontId="21" fillId="0" borderId="0" xfId="0" applyFont="1" applyAlignment="1">
      <alignment vertical="center"/>
    </xf>
    <xf numFmtId="0" fontId="21" fillId="0" borderId="0" xfId="0" applyFont="1" applyFill="1" applyAlignment="1">
      <alignment vertical="center"/>
    </xf>
    <xf numFmtId="0" fontId="0" fillId="4" borderId="44" xfId="0" applyFont="1" applyFill="1" applyBorder="1" applyAlignment="1">
      <alignment horizontal="center" vertical="center" wrapText="1"/>
    </xf>
    <xf numFmtId="0" fontId="0" fillId="8" borderId="81" xfId="0" applyFill="1" applyBorder="1" applyAlignment="1">
      <alignment horizontal="center" vertical="center"/>
    </xf>
    <xf numFmtId="0" fontId="0" fillId="10" borderId="16" xfId="0" applyFont="1" applyFill="1" applyBorder="1" applyAlignment="1">
      <alignment horizontal="center" vertical="center"/>
    </xf>
    <xf numFmtId="0" fontId="7" fillId="10" borderId="28" xfId="0" applyFont="1" applyFill="1" applyBorder="1" applyAlignment="1">
      <alignment vertical="center"/>
    </xf>
    <xf numFmtId="0" fontId="7" fillId="10" borderId="82" xfId="0" applyFont="1" applyFill="1" applyBorder="1" applyAlignment="1">
      <alignment vertical="center"/>
    </xf>
    <xf numFmtId="9" fontId="0" fillId="0" borderId="9" xfId="0" applyNumberFormat="1" applyFill="1" applyBorder="1" applyAlignment="1">
      <alignment vertical="center"/>
    </xf>
    <xf numFmtId="0" fontId="8" fillId="0" borderId="21" xfId="0" applyFont="1" applyFill="1" applyBorder="1" applyAlignment="1">
      <alignment vertical="center"/>
    </xf>
    <xf numFmtId="0" fontId="0" fillId="8" borderId="26" xfId="0" applyFill="1" applyBorder="1" applyAlignment="1">
      <alignment horizontal="center" vertical="center"/>
    </xf>
    <xf numFmtId="0" fontId="0" fillId="8" borderId="67" xfId="0" applyFill="1" applyBorder="1" applyAlignment="1">
      <alignment vertical="center"/>
    </xf>
    <xf numFmtId="0" fontId="7" fillId="8" borderId="0" xfId="0" applyFont="1" applyFill="1" applyBorder="1" applyAlignment="1">
      <alignment vertical="center"/>
    </xf>
    <xf numFmtId="0" fontId="7" fillId="8" borderId="69" xfId="0" applyFont="1" applyFill="1" applyBorder="1" applyAlignment="1">
      <alignment vertical="center"/>
    </xf>
    <xf numFmtId="0" fontId="0" fillId="0" borderId="17" xfId="0" applyBorder="1" applyAlignment="1">
      <alignment vertical="center"/>
    </xf>
    <xf numFmtId="0" fontId="0" fillId="0" borderId="0" xfId="0" applyAlignment="1">
      <alignment vertical="center" textRotation="255"/>
    </xf>
    <xf numFmtId="0" fontId="7" fillId="0" borderId="0" xfId="0" applyFont="1" applyBorder="1" applyAlignment="1">
      <alignment vertical="center"/>
    </xf>
    <xf numFmtId="0" fontId="26" fillId="0" borderId="0" xfId="0" applyFont="1" applyBorder="1" applyAlignment="1">
      <alignment vertical="center" textRotation="255"/>
    </xf>
    <xf numFmtId="9" fontId="0" fillId="0" borderId="82" xfId="0" applyNumberFormat="1" applyBorder="1" applyAlignment="1">
      <alignment vertical="center"/>
    </xf>
    <xf numFmtId="0" fontId="0" fillId="13" borderId="10" xfId="0" applyFill="1" applyBorder="1" applyAlignment="1">
      <alignment vertical="center"/>
    </xf>
    <xf numFmtId="0" fontId="0" fillId="13" borderId="13" xfId="0" applyFill="1" applyBorder="1" applyAlignment="1">
      <alignment vertical="center"/>
    </xf>
    <xf numFmtId="9" fontId="0" fillId="13" borderId="15" xfId="0" applyNumberFormat="1" applyFill="1" applyBorder="1" applyAlignment="1">
      <alignment vertical="center"/>
    </xf>
    <xf numFmtId="0" fontId="0" fillId="0" borderId="64"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83" xfId="0" applyFill="1"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89" xfId="0" applyBorder="1" applyAlignment="1">
      <alignment horizontal="center" vertical="center"/>
    </xf>
    <xf numFmtId="10" fontId="0" fillId="0" borderId="90" xfId="0" applyNumberFormat="1" applyBorder="1" applyAlignment="1">
      <alignment vertical="center"/>
    </xf>
    <xf numFmtId="10" fontId="0" fillId="0" borderId="91" xfId="0" applyNumberFormat="1" applyBorder="1" applyAlignment="1">
      <alignment vertical="center"/>
    </xf>
    <xf numFmtId="10" fontId="0" fillId="0" borderId="45" xfId="0" applyNumberFormat="1" applyBorder="1" applyAlignment="1">
      <alignment vertical="center"/>
    </xf>
    <xf numFmtId="10" fontId="0" fillId="0" borderId="92" xfId="0" applyNumberFormat="1" applyBorder="1" applyAlignment="1">
      <alignment vertical="center"/>
    </xf>
    <xf numFmtId="10" fontId="0" fillId="0" borderId="93" xfId="0" applyNumberFormat="1" applyBorder="1" applyAlignment="1">
      <alignment vertical="center"/>
    </xf>
    <xf numFmtId="10" fontId="0" fillId="0" borderId="48" xfId="0" applyNumberFormat="1" applyBorder="1" applyAlignment="1">
      <alignment vertical="center"/>
    </xf>
    <xf numFmtId="10" fontId="0" fillId="0" borderId="94" xfId="0" applyNumberFormat="1" applyBorder="1" applyAlignment="1">
      <alignment vertical="center"/>
    </xf>
    <xf numFmtId="10" fontId="0" fillId="0" borderId="95" xfId="0" applyNumberFormat="1" applyBorder="1" applyAlignment="1">
      <alignment vertical="center"/>
    </xf>
    <xf numFmtId="10" fontId="0" fillId="0" borderId="60" xfId="0" applyNumberFormat="1" applyBorder="1" applyAlignment="1">
      <alignment vertical="center"/>
    </xf>
    <xf numFmtId="10" fontId="0" fillId="0" borderId="50" xfId="0" applyNumberFormat="1" applyFill="1" applyBorder="1" applyAlignment="1">
      <alignment vertical="center"/>
    </xf>
    <xf numFmtId="10" fontId="0" fillId="0" borderId="96" xfId="0" applyNumberFormat="1" applyBorder="1" applyAlignment="1">
      <alignment horizontal="center" vertical="center"/>
    </xf>
    <xf numFmtId="10" fontId="0" fillId="0" borderId="51" xfId="0" applyNumberFormat="1" applyBorder="1" applyAlignment="1">
      <alignment horizontal="center" vertical="center"/>
    </xf>
    <xf numFmtId="10" fontId="0" fillId="8" borderId="0" xfId="0" applyNumberFormat="1" applyFill="1" applyBorder="1" applyAlignment="1">
      <alignment horizontal="center" vertical="center"/>
    </xf>
    <xf numFmtId="10" fontId="0" fillId="8" borderId="69" xfId="0" applyNumberFormat="1" applyFill="1" applyBorder="1" applyAlignment="1">
      <alignment horizontal="center" vertical="center"/>
    </xf>
    <xf numFmtId="10" fontId="0" fillId="8" borderId="50" xfId="0" applyNumberFormat="1" applyFill="1" applyBorder="1" applyAlignment="1">
      <alignment horizontal="center" vertical="center"/>
    </xf>
    <xf numFmtId="0" fontId="0" fillId="0" borderId="21" xfId="0" applyFill="1" applyBorder="1" applyAlignment="1">
      <alignment horizontal="left" vertical="center"/>
    </xf>
    <xf numFmtId="179" fontId="0" fillId="0" borderId="91" xfId="0" applyNumberFormat="1" applyFill="1" applyBorder="1" applyAlignment="1">
      <alignment vertical="center"/>
    </xf>
    <xf numFmtId="179" fontId="0" fillId="0" borderId="45" xfId="0" applyNumberFormat="1" applyFill="1" applyBorder="1" applyAlignment="1">
      <alignment vertical="center"/>
    </xf>
    <xf numFmtId="179" fontId="0" fillId="0" borderId="93" xfId="0" applyNumberFormat="1" applyFill="1" applyBorder="1" applyAlignment="1">
      <alignment vertical="center"/>
    </xf>
    <xf numFmtId="179" fontId="0" fillId="0" borderId="48" xfId="0" applyNumberFormat="1" applyFill="1" applyBorder="1" applyAlignment="1">
      <alignment vertical="center"/>
    </xf>
    <xf numFmtId="179" fontId="0" fillId="0" borderId="97" xfId="0" applyNumberFormat="1" applyFill="1" applyBorder="1" applyAlignment="1">
      <alignment vertical="center"/>
    </xf>
    <xf numFmtId="179" fontId="0" fillId="0" borderId="46" xfId="0" applyNumberFormat="1" applyFill="1" applyBorder="1" applyAlignment="1">
      <alignment vertical="center"/>
    </xf>
    <xf numFmtId="179" fontId="0" fillId="0" borderId="98" xfId="0" applyNumberFormat="1" applyFill="1" applyBorder="1" applyAlignment="1">
      <alignment vertical="center"/>
    </xf>
    <xf numFmtId="179" fontId="0" fillId="0" borderId="47" xfId="0" applyNumberFormat="1" applyFill="1" applyBorder="1" applyAlignment="1">
      <alignment vertical="center"/>
    </xf>
    <xf numFmtId="179" fontId="0" fillId="0" borderId="95" xfId="0" applyNumberFormat="1" applyFill="1" applyBorder="1" applyAlignment="1">
      <alignment vertical="center"/>
    </xf>
    <xf numFmtId="179" fontId="0" fillId="0" borderId="60" xfId="0" applyNumberFormat="1" applyFill="1" applyBorder="1" applyAlignment="1">
      <alignment vertical="center"/>
    </xf>
    <xf numFmtId="0" fontId="0" fillId="0" borderId="0" xfId="0" applyFont="1" applyBorder="1" applyAlignment="1">
      <alignment vertical="center"/>
    </xf>
    <xf numFmtId="0" fontId="0" fillId="0" borderId="64" xfId="0" applyFont="1" applyFill="1" applyBorder="1" applyAlignment="1">
      <alignment vertical="center"/>
    </xf>
    <xf numFmtId="0" fontId="0" fillId="0" borderId="82" xfId="0" applyFont="1" applyFill="1" applyBorder="1" applyAlignment="1">
      <alignment vertical="center"/>
    </xf>
    <xf numFmtId="0" fontId="0" fillId="0" borderId="66" xfId="0" applyFill="1" applyBorder="1" applyAlignment="1">
      <alignment vertical="center"/>
    </xf>
    <xf numFmtId="0" fontId="0" fillId="0" borderId="67" xfId="0" applyFill="1" applyBorder="1" applyAlignment="1">
      <alignment vertical="center"/>
    </xf>
    <xf numFmtId="0" fontId="21" fillId="0" borderId="0" xfId="0" applyFont="1" applyBorder="1" applyAlignment="1">
      <alignment vertical="center" shrinkToFit="1"/>
    </xf>
    <xf numFmtId="0" fontId="21" fillId="0" borderId="0" xfId="0" applyFont="1" applyBorder="1" applyAlignment="1">
      <alignment vertical="center"/>
    </xf>
    <xf numFmtId="0" fontId="0" fillId="8" borderId="49" xfId="0" applyFont="1" applyFill="1" applyBorder="1" applyAlignment="1">
      <alignment vertical="center"/>
    </xf>
    <xf numFmtId="9" fontId="0" fillId="2" borderId="28" xfId="0" applyNumberFormat="1" applyFill="1" applyBorder="1" applyAlignment="1">
      <alignment vertical="center"/>
    </xf>
    <xf numFmtId="9" fontId="0" fillId="2" borderId="17" xfId="0" applyNumberFormat="1" applyFill="1" applyBorder="1" applyAlignment="1">
      <alignment vertical="center"/>
    </xf>
    <xf numFmtId="178" fontId="0" fillId="0" borderId="19" xfId="0" applyNumberFormat="1" applyFill="1" applyBorder="1" applyAlignment="1">
      <alignment vertical="center"/>
    </xf>
    <xf numFmtId="0" fontId="0" fillId="4" borderId="36" xfId="0" applyFont="1" applyFill="1" applyBorder="1" applyAlignment="1">
      <alignment horizontal="center" vertical="center" wrapText="1"/>
    </xf>
    <xf numFmtId="0" fontId="0" fillId="0" borderId="52" xfId="0" applyBorder="1" applyAlignment="1">
      <alignment horizontal="right" vertical="center"/>
    </xf>
    <xf numFmtId="9" fontId="0" fillId="2" borderId="55" xfId="0" applyNumberFormat="1" applyFill="1" applyBorder="1" applyAlignment="1">
      <alignment vertical="center"/>
    </xf>
    <xf numFmtId="0" fontId="0" fillId="2" borderId="28" xfId="0" applyFont="1" applyFill="1" applyBorder="1" applyAlignment="1">
      <alignment vertical="center"/>
    </xf>
    <xf numFmtId="0" fontId="0" fillId="14" borderId="12" xfId="0" applyFont="1" applyFill="1" applyBorder="1" applyAlignment="1">
      <alignment vertical="center"/>
    </xf>
    <xf numFmtId="0" fontId="0" fillId="14" borderId="9" xfId="0" applyFill="1" applyBorder="1" applyAlignment="1">
      <alignment vertical="center"/>
    </xf>
    <xf numFmtId="0" fontId="0" fillId="14" borderId="21" xfId="0" applyFill="1" applyBorder="1" applyAlignment="1">
      <alignment horizontal="left" vertical="center"/>
    </xf>
    <xf numFmtId="0" fontId="8" fillId="0" borderId="0" xfId="0" applyFont="1" applyFill="1" applyBorder="1" applyAlignment="1">
      <alignment vertical="center" shrinkToFit="1"/>
    </xf>
    <xf numFmtId="0" fontId="0" fillId="0" borderId="66" xfId="0" applyBorder="1" applyAlignment="1">
      <alignment vertical="center"/>
    </xf>
    <xf numFmtId="9" fontId="0" fillId="0" borderId="49" xfId="0" applyNumberFormat="1" applyFill="1" applyBorder="1" applyAlignment="1">
      <alignment vertical="center"/>
    </xf>
    <xf numFmtId="0" fontId="0" fillId="0" borderId="36" xfId="0" applyFill="1" applyBorder="1" applyAlignment="1">
      <alignment vertical="center"/>
    </xf>
    <xf numFmtId="0" fontId="0" fillId="0" borderId="1" xfId="0" applyBorder="1" applyAlignment="1">
      <alignment vertical="center"/>
    </xf>
    <xf numFmtId="0" fontId="0" fillId="10" borderId="7" xfId="0" applyFill="1" applyBorder="1" applyAlignment="1">
      <alignment vertical="center"/>
    </xf>
    <xf numFmtId="178" fontId="0" fillId="10" borderId="9" xfId="0" applyNumberFormat="1" applyFill="1" applyBorder="1" applyAlignment="1">
      <alignment vertical="center"/>
    </xf>
    <xf numFmtId="0" fontId="0" fillId="8" borderId="67" xfId="0" applyFill="1" applyBorder="1" applyAlignment="1">
      <alignment vertical="center"/>
    </xf>
    <xf numFmtId="0" fontId="0" fillId="0" borderId="99" xfId="0" applyBorder="1" applyAlignment="1">
      <alignment horizontal="center" vertical="center"/>
    </xf>
    <xf numFmtId="178" fontId="0" fillId="8" borderId="52" xfId="0" applyNumberFormat="1" applyFill="1" applyBorder="1" applyAlignment="1">
      <alignment vertical="center"/>
    </xf>
    <xf numFmtId="178" fontId="0" fillId="8" borderId="64" xfId="0" applyNumberFormat="1" applyFill="1" applyBorder="1" applyAlignment="1">
      <alignment vertical="center"/>
    </xf>
    <xf numFmtId="0" fontId="0" fillId="0" borderId="80" xfId="0" applyBorder="1" applyAlignment="1">
      <alignment vertical="center"/>
    </xf>
    <xf numFmtId="0" fontId="0" fillId="0" borderId="28" xfId="0" applyFont="1" applyFill="1" applyBorder="1" applyAlignment="1">
      <alignment vertical="center"/>
    </xf>
    <xf numFmtId="9" fontId="8" fillId="0" borderId="28" xfId="0" applyNumberFormat="1" applyFont="1" applyFill="1" applyBorder="1" applyAlignment="1">
      <alignment vertical="center"/>
    </xf>
    <xf numFmtId="0" fontId="0" fillId="0" borderId="49" xfId="0" applyFill="1" applyBorder="1" applyAlignment="1">
      <alignment vertical="center"/>
    </xf>
    <xf numFmtId="0" fontId="0" fillId="8" borderId="16" xfId="0" applyFill="1" applyBorder="1" applyAlignment="1">
      <alignment vertical="center"/>
    </xf>
    <xf numFmtId="0" fontId="0" fillId="8" borderId="28" xfId="0" applyFill="1" applyBorder="1" applyAlignment="1">
      <alignment vertical="center"/>
    </xf>
    <xf numFmtId="0" fontId="0" fillId="8" borderId="49" xfId="0" applyFont="1" applyFill="1" applyBorder="1" applyAlignment="1">
      <alignment horizontal="left" vertical="center"/>
    </xf>
    <xf numFmtId="0" fontId="21" fillId="0" borderId="0" xfId="0" applyFont="1" applyAlignment="1">
      <alignment vertical="center" shrinkToFit="1"/>
    </xf>
    <xf numFmtId="0" fontId="0" fillId="2" borderId="6" xfId="0" applyFill="1" applyBorder="1" applyAlignment="1">
      <alignment vertical="center"/>
    </xf>
    <xf numFmtId="0" fontId="0" fillId="2" borderId="32" xfId="0" applyFill="1" applyBorder="1" applyAlignment="1">
      <alignment vertical="center"/>
    </xf>
    <xf numFmtId="0" fontId="0" fillId="2" borderId="8" xfId="0" applyNumberFormat="1" applyFill="1" applyBorder="1" applyAlignment="1">
      <alignment vertical="center"/>
    </xf>
    <xf numFmtId="0" fontId="0" fillId="2" borderId="9" xfId="0" applyNumberFormat="1" applyFill="1" applyBorder="1" applyAlignment="1">
      <alignment vertical="center"/>
    </xf>
    <xf numFmtId="9" fontId="0" fillId="0" borderId="4" xfId="0" applyNumberFormat="1" applyBorder="1" applyAlignment="1">
      <alignment vertical="center"/>
    </xf>
    <xf numFmtId="0" fontId="0" fillId="0" borderId="50" xfId="0" applyBorder="1" applyAlignment="1">
      <alignment vertical="center"/>
    </xf>
    <xf numFmtId="6" fontId="0" fillId="0" borderId="0" xfId="19" applyFont="1" applyFill="1" applyBorder="1" applyAlignment="1">
      <alignment vertical="center"/>
    </xf>
    <xf numFmtId="0" fontId="0" fillId="10" borderId="40" xfId="0" applyFill="1" applyBorder="1" applyAlignment="1">
      <alignment vertical="center"/>
    </xf>
    <xf numFmtId="0" fontId="0" fillId="0" borderId="2" xfId="0" applyBorder="1" applyAlignment="1">
      <alignment vertical="center"/>
    </xf>
    <xf numFmtId="0" fontId="0" fillId="10" borderId="40" xfId="0" applyFill="1" applyBorder="1" applyAlignment="1">
      <alignment vertical="center"/>
    </xf>
    <xf numFmtId="176" fontId="7" fillId="6" borderId="68" xfId="0" applyNumberFormat="1" applyFont="1" applyFill="1" applyBorder="1" applyAlignment="1">
      <alignment vertical="center"/>
    </xf>
    <xf numFmtId="176" fontId="7" fillId="6" borderId="60" xfId="0" applyNumberFormat="1" applyFont="1" applyFill="1" applyBorder="1" applyAlignment="1">
      <alignment vertical="center"/>
    </xf>
    <xf numFmtId="0" fontId="7" fillId="3" borderId="99" xfId="0" applyFont="1" applyFill="1" applyBorder="1" applyAlignment="1">
      <alignment vertical="center"/>
    </xf>
    <xf numFmtId="0" fontId="7" fillId="4" borderId="79" xfId="0" applyFont="1" applyFill="1" applyBorder="1" applyAlignment="1">
      <alignment vertical="center"/>
    </xf>
    <xf numFmtId="0" fontId="7" fillId="6" borderId="79" xfId="0" applyFont="1" applyFill="1" applyBorder="1" applyAlignment="1">
      <alignment vertical="center"/>
    </xf>
    <xf numFmtId="0" fontId="7" fillId="6" borderId="80" xfId="0" applyFont="1" applyFill="1" applyBorder="1" applyAlignment="1">
      <alignment vertical="center"/>
    </xf>
    <xf numFmtId="0" fontId="8" fillId="0" borderId="7" xfId="0" applyFont="1" applyBorder="1" applyAlignment="1">
      <alignment vertical="center"/>
    </xf>
    <xf numFmtId="0" fontId="0" fillId="8" borderId="33" xfId="0" applyFont="1" applyFill="1" applyBorder="1" applyAlignment="1">
      <alignment vertical="center"/>
    </xf>
    <xf numFmtId="0" fontId="0" fillId="14" borderId="15" xfId="0" applyFill="1" applyBorder="1" applyAlignment="1">
      <alignment vertical="center"/>
    </xf>
    <xf numFmtId="9" fontId="21" fillId="0" borderId="0" xfId="0" applyNumberFormat="1" applyFont="1" applyAlignment="1">
      <alignment vertical="center"/>
    </xf>
    <xf numFmtId="0" fontId="0" fillId="0" borderId="16" xfId="0" applyBorder="1" applyAlignment="1">
      <alignment horizontal="center" vertical="center"/>
    </xf>
    <xf numFmtId="0" fontId="0" fillId="0" borderId="28" xfId="0" applyBorder="1" applyAlignment="1">
      <alignment horizontal="center" vertical="center"/>
    </xf>
    <xf numFmtId="9" fontId="0" fillId="0" borderId="8" xfId="0" applyNumberFormat="1" applyBorder="1" applyAlignment="1">
      <alignment vertical="center"/>
    </xf>
    <xf numFmtId="9" fontId="0" fillId="0" borderId="31" xfId="0" applyNumberFormat="1" applyBorder="1" applyAlignment="1">
      <alignment vertical="center"/>
    </xf>
    <xf numFmtId="9" fontId="0" fillId="0" borderId="11" xfId="0" applyNumberFormat="1" applyBorder="1" applyAlignment="1">
      <alignment vertical="center"/>
    </xf>
    <xf numFmtId="9" fontId="0" fillId="4" borderId="16" xfId="0" applyNumberFormat="1" applyFill="1" applyBorder="1" applyAlignment="1">
      <alignment vertical="center"/>
    </xf>
    <xf numFmtId="9" fontId="0" fillId="4" borderId="18" xfId="0" applyNumberFormat="1" applyFill="1" applyBorder="1" applyAlignment="1">
      <alignment vertical="center"/>
    </xf>
    <xf numFmtId="9" fontId="0" fillId="4" borderId="28" xfId="0" applyNumberFormat="1" applyFill="1" applyBorder="1" applyAlignment="1">
      <alignment vertical="center"/>
    </xf>
    <xf numFmtId="9" fontId="0" fillId="0" borderId="9" xfId="0" applyNumberFormat="1" applyBorder="1" applyAlignment="1">
      <alignment vertical="center"/>
    </xf>
    <xf numFmtId="0" fontId="0" fillId="14" borderId="9" xfId="0" applyFill="1" applyBorder="1" applyAlignment="1">
      <alignment vertical="center"/>
    </xf>
    <xf numFmtId="9" fontId="0" fillId="2" borderId="38" xfId="0" applyNumberFormat="1" applyFill="1" applyBorder="1" applyAlignment="1">
      <alignment vertical="center"/>
    </xf>
    <xf numFmtId="9" fontId="0" fillId="2" borderId="42" xfId="0" applyNumberFormat="1" applyFill="1" applyBorder="1" applyAlignment="1">
      <alignment vertical="center"/>
    </xf>
    <xf numFmtId="9" fontId="0" fillId="2" borderId="39" xfId="0" applyNumberFormat="1" applyFill="1" applyBorder="1" applyAlignment="1">
      <alignment vertical="center"/>
    </xf>
    <xf numFmtId="0" fontId="7" fillId="2" borderId="9" xfId="0" applyFont="1" applyFill="1" applyBorder="1" applyAlignment="1">
      <alignment vertical="center"/>
    </xf>
    <xf numFmtId="0" fontId="0" fillId="0" borderId="1" xfId="0" applyBorder="1" applyAlignment="1">
      <alignment horizontal="center" vertical="center"/>
    </xf>
    <xf numFmtId="0" fontId="0" fillId="8" borderId="66" xfId="0" applyFill="1" applyBorder="1" applyAlignment="1">
      <alignment vertical="center"/>
    </xf>
    <xf numFmtId="0" fontId="0" fillId="4" borderId="4" xfId="0" applyNumberFormat="1" applyFill="1" applyBorder="1" applyAlignment="1">
      <alignment vertical="center"/>
    </xf>
    <xf numFmtId="0" fontId="0" fillId="4" borderId="9" xfId="0" applyNumberFormat="1" applyFill="1" applyBorder="1" applyAlignment="1">
      <alignment vertical="center"/>
    </xf>
    <xf numFmtId="0" fontId="0" fillId="4" borderId="15" xfId="0" applyNumberFormat="1" applyFill="1" applyBorder="1" applyAlignment="1">
      <alignment vertical="center"/>
    </xf>
    <xf numFmtId="0" fontId="0" fillId="0" borderId="3" xfId="0" applyNumberFormat="1" applyFill="1" applyBorder="1" applyAlignment="1">
      <alignment vertical="center"/>
    </xf>
    <xf numFmtId="0" fontId="0" fillId="0" borderId="8" xfId="0" applyNumberFormat="1" applyFill="1" applyBorder="1" applyAlignment="1">
      <alignment vertical="center"/>
    </xf>
    <xf numFmtId="0" fontId="0" fillId="0" borderId="14" xfId="0" applyNumberFormat="1" applyFill="1" applyBorder="1" applyAlignment="1">
      <alignment vertical="center"/>
    </xf>
    <xf numFmtId="0" fontId="0" fillId="0" borderId="32" xfId="0" applyBorder="1" applyAlignment="1">
      <alignment vertical="center"/>
    </xf>
    <xf numFmtId="9" fontId="0" fillId="0" borderId="37" xfId="0" applyNumberFormat="1" applyBorder="1" applyAlignment="1">
      <alignment vertical="center"/>
    </xf>
    <xf numFmtId="0" fontId="7" fillId="0" borderId="0" xfId="0" applyNumberFormat="1" applyFont="1" applyFill="1" applyBorder="1" applyAlignment="1">
      <alignment vertical="center"/>
    </xf>
    <xf numFmtId="0" fontId="0" fillId="0" borderId="4" xfId="0" applyNumberFormat="1" applyFill="1" applyBorder="1" applyAlignment="1">
      <alignment vertical="center"/>
    </xf>
    <xf numFmtId="0" fontId="0" fillId="0" borderId="9" xfId="0" applyNumberFormat="1" applyFill="1" applyBorder="1" applyAlignment="1">
      <alignment vertical="center"/>
    </xf>
    <xf numFmtId="0" fontId="0" fillId="0" borderId="15" xfId="0" applyNumberFormat="1" applyFill="1" applyBorder="1" applyAlignment="1">
      <alignment vertical="center"/>
    </xf>
    <xf numFmtId="9" fontId="0" fillId="0" borderId="27" xfId="0" applyNumberFormat="1" applyFill="1" applyBorder="1" applyAlignment="1">
      <alignment vertical="center"/>
    </xf>
    <xf numFmtId="0" fontId="0" fillId="0" borderId="78" xfId="0" applyFill="1" applyBorder="1" applyAlignment="1">
      <alignment horizontal="center" vertical="center" shrinkToFit="1"/>
    </xf>
    <xf numFmtId="0" fontId="0" fillId="0" borderId="100" xfId="0" applyFill="1" applyBorder="1" applyAlignment="1">
      <alignment vertical="center"/>
    </xf>
    <xf numFmtId="0" fontId="0" fillId="2" borderId="4" xfId="0" applyFont="1" applyFill="1" applyBorder="1" applyAlignment="1">
      <alignment vertical="center"/>
    </xf>
    <xf numFmtId="9" fontId="0" fillId="2" borderId="15" xfId="0" applyNumberFormat="1" applyFill="1" applyBorder="1" applyAlignment="1">
      <alignment vertical="center"/>
    </xf>
    <xf numFmtId="0" fontId="0" fillId="0" borderId="101" xfId="0" applyBorder="1" applyAlignment="1">
      <alignment vertical="center"/>
    </xf>
    <xf numFmtId="0" fontId="0" fillId="0" borderId="102" xfId="0" applyBorder="1" applyAlignment="1">
      <alignment vertical="center"/>
    </xf>
    <xf numFmtId="0" fontId="6" fillId="0" borderId="101" xfId="0" applyNumberFormat="1" applyFont="1" applyBorder="1" applyAlignment="1">
      <alignment vertical="center"/>
    </xf>
    <xf numFmtId="0" fontId="0" fillId="0" borderId="94" xfId="0" applyBorder="1" applyAlignment="1">
      <alignment vertical="center"/>
    </xf>
    <xf numFmtId="0" fontId="0" fillId="13" borderId="90" xfId="0" applyFill="1" applyBorder="1" applyAlignment="1">
      <alignment vertical="center"/>
    </xf>
    <xf numFmtId="0" fontId="0" fillId="13" borderId="94" xfId="0" applyFill="1" applyBorder="1" applyAlignment="1">
      <alignment vertical="center"/>
    </xf>
    <xf numFmtId="0" fontId="0" fillId="0" borderId="69" xfId="0" applyBorder="1" applyAlignment="1">
      <alignment vertical="center"/>
    </xf>
    <xf numFmtId="9" fontId="0" fillId="2" borderId="36" xfId="0" applyNumberFormat="1" applyFill="1" applyBorder="1" applyAlignment="1">
      <alignment vertical="center"/>
    </xf>
    <xf numFmtId="9" fontId="0" fillId="2" borderId="37" xfId="0" applyNumberFormat="1" applyFill="1" applyBorder="1" applyAlignment="1">
      <alignment vertical="center"/>
    </xf>
    <xf numFmtId="9" fontId="0" fillId="2" borderId="27" xfId="0" applyNumberFormat="1" applyFill="1" applyBorder="1" applyAlignment="1">
      <alignment vertical="center"/>
    </xf>
    <xf numFmtId="0" fontId="0" fillId="0" borderId="101" xfId="0" applyBorder="1" applyAlignment="1">
      <alignment vertical="center"/>
    </xf>
    <xf numFmtId="0" fontId="7" fillId="0" borderId="42" xfId="0" applyFont="1" applyBorder="1" applyAlignment="1">
      <alignment vertical="center"/>
    </xf>
    <xf numFmtId="0" fontId="7" fillId="0" borderId="39" xfId="0" applyNumberFormat="1" applyFont="1" applyBorder="1" applyAlignment="1">
      <alignment vertical="center"/>
    </xf>
    <xf numFmtId="0" fontId="0" fillId="0" borderId="92" xfId="0" applyFill="1" applyBorder="1" applyAlignment="1">
      <alignment vertical="center"/>
    </xf>
    <xf numFmtId="0" fontId="0" fillId="0" borderId="92" xfId="0" applyBorder="1" applyAlignment="1">
      <alignment vertical="center"/>
    </xf>
    <xf numFmtId="0" fontId="0" fillId="0" borderId="103" xfId="0" applyBorder="1" applyAlignment="1">
      <alignment vertical="center"/>
    </xf>
    <xf numFmtId="0" fontId="0" fillId="0" borderId="90" xfId="0" applyFill="1" applyBorder="1" applyAlignment="1">
      <alignment vertical="center"/>
    </xf>
    <xf numFmtId="0" fontId="0" fillId="0" borderId="90" xfId="0" applyBorder="1" applyAlignment="1">
      <alignment vertical="center"/>
    </xf>
    <xf numFmtId="0" fontId="0" fillId="0" borderId="104" xfId="0" applyBorder="1" applyAlignment="1">
      <alignment vertical="center"/>
    </xf>
    <xf numFmtId="0" fontId="0" fillId="0" borderId="101" xfId="0" applyFont="1" applyFill="1" applyBorder="1" applyAlignment="1">
      <alignment vertical="center"/>
    </xf>
    <xf numFmtId="0" fontId="0" fillId="0" borderId="92" xfId="0" applyFont="1" applyFill="1" applyBorder="1" applyAlignment="1">
      <alignment vertical="center" shrinkToFit="1"/>
    </xf>
    <xf numFmtId="0" fontId="8" fillId="0" borderId="92" xfId="0" applyFont="1" applyBorder="1" applyAlignment="1">
      <alignment vertical="center"/>
    </xf>
    <xf numFmtId="0" fontId="0" fillId="8" borderId="50" xfId="0" applyFont="1" applyFill="1" applyBorder="1" applyAlignment="1">
      <alignment vertical="center"/>
    </xf>
    <xf numFmtId="0" fontId="0" fillId="8" borderId="50" xfId="0" applyFill="1" applyBorder="1" applyAlignment="1">
      <alignment vertical="center"/>
    </xf>
    <xf numFmtId="0" fontId="0" fillId="0" borderId="50" xfId="0" applyFill="1" applyBorder="1" applyAlignment="1">
      <alignment vertical="center"/>
    </xf>
    <xf numFmtId="0" fontId="0" fillId="0" borderId="92" xfId="0" applyFont="1" applyFill="1" applyBorder="1" applyAlignment="1">
      <alignment vertical="center"/>
    </xf>
    <xf numFmtId="0" fontId="0" fillId="8" borderId="69" xfId="0" applyFill="1" applyBorder="1" applyAlignment="1">
      <alignment vertical="center"/>
    </xf>
    <xf numFmtId="0" fontId="0" fillId="8" borderId="21" xfId="0" applyFill="1" applyBorder="1" applyAlignment="1">
      <alignment vertical="center"/>
    </xf>
    <xf numFmtId="0" fontId="0" fillId="8" borderId="49" xfId="0" applyFill="1" applyBorder="1" applyAlignment="1">
      <alignment vertical="center"/>
    </xf>
    <xf numFmtId="0" fontId="0" fillId="0" borderId="102" xfId="0" applyFill="1" applyBorder="1" applyAlignment="1">
      <alignment vertical="center"/>
    </xf>
    <xf numFmtId="0" fontId="0" fillId="0" borderId="94" xfId="0" applyFill="1" applyBorder="1" applyAlignment="1">
      <alignment vertical="center"/>
    </xf>
    <xf numFmtId="0" fontId="0" fillId="0" borderId="90" xfId="0" applyFont="1" applyBorder="1" applyAlignment="1">
      <alignment vertical="center"/>
    </xf>
    <xf numFmtId="0" fontId="0" fillId="0" borderId="92" xfId="0" applyFont="1" applyBorder="1" applyAlignment="1">
      <alignment vertical="center"/>
    </xf>
    <xf numFmtId="0" fontId="8" fillId="0" borderId="103" xfId="0" applyFont="1" applyBorder="1" applyAlignment="1">
      <alignment vertical="center"/>
    </xf>
    <xf numFmtId="0" fontId="6" fillId="0" borderId="7" xfId="0" applyFont="1" applyFill="1" applyBorder="1" applyAlignment="1">
      <alignment vertical="center"/>
    </xf>
    <xf numFmtId="0" fontId="6" fillId="0" borderId="92" xfId="0" applyFont="1" applyFill="1" applyBorder="1" applyAlignment="1">
      <alignment vertical="center"/>
    </xf>
    <xf numFmtId="0" fontId="0" fillId="0" borderId="101" xfId="0" applyBorder="1" applyAlignment="1">
      <alignment vertical="center" shrinkToFit="1"/>
    </xf>
    <xf numFmtId="0" fontId="8" fillId="0" borderId="90" xfId="0" applyFont="1" applyBorder="1" applyAlignment="1">
      <alignment vertical="center"/>
    </xf>
    <xf numFmtId="0" fontId="16" fillId="0" borderId="92" xfId="0" applyFont="1" applyBorder="1" applyAlignment="1">
      <alignment vertical="center"/>
    </xf>
    <xf numFmtId="0" fontId="0" fillId="8" borderId="69" xfId="0" applyFont="1" applyFill="1" applyBorder="1" applyAlignment="1">
      <alignment vertical="center"/>
    </xf>
    <xf numFmtId="0" fontId="0" fillId="0" borderId="69" xfId="0" applyFill="1" applyBorder="1" applyAlignment="1">
      <alignment vertical="center"/>
    </xf>
    <xf numFmtId="0" fontId="8" fillId="0" borderId="0" xfId="0" applyFont="1" applyFill="1" applyBorder="1" applyAlignment="1">
      <alignment vertical="center"/>
    </xf>
    <xf numFmtId="0" fontId="0" fillId="0" borderId="92" xfId="0" applyNumberFormat="1" applyBorder="1" applyAlignment="1">
      <alignment vertical="center" shrinkToFit="1"/>
    </xf>
    <xf numFmtId="0" fontId="16" fillId="0" borderId="7" xfId="0" applyNumberFormat="1" applyFont="1" applyBorder="1" applyAlignment="1">
      <alignment vertical="center"/>
    </xf>
    <xf numFmtId="0" fontId="8" fillId="0" borderId="1" xfId="0" applyFont="1" applyBorder="1" applyAlignment="1">
      <alignment vertical="center"/>
    </xf>
    <xf numFmtId="0" fontId="8" fillId="0" borderId="7" xfId="0" applyFont="1" applyFill="1" applyBorder="1" applyAlignment="1">
      <alignment vertical="center"/>
    </xf>
    <xf numFmtId="0" fontId="0" fillId="0" borderId="53" xfId="0" applyBorder="1" applyAlignment="1">
      <alignment horizontal="center" vertical="center"/>
    </xf>
    <xf numFmtId="0" fontId="0" fillId="0" borderId="62" xfId="0" applyBorder="1" applyAlignment="1">
      <alignment horizontal="center" vertical="center"/>
    </xf>
    <xf numFmtId="0" fontId="0" fillId="0" borderId="41" xfId="0" applyBorder="1" applyAlignment="1">
      <alignment horizontal="center" vertical="center"/>
    </xf>
    <xf numFmtId="0" fontId="0" fillId="2" borderId="55" xfId="0" applyFill="1" applyBorder="1" applyAlignment="1">
      <alignment horizontal="right" vertical="center"/>
    </xf>
    <xf numFmtId="0" fontId="0" fillId="2" borderId="40" xfId="0" applyFill="1" applyBorder="1" applyAlignment="1">
      <alignment vertical="center"/>
    </xf>
    <xf numFmtId="0" fontId="0" fillId="2" borderId="40" xfId="0" applyFont="1" applyFill="1" applyBorder="1" applyAlignment="1">
      <alignment vertical="center"/>
    </xf>
    <xf numFmtId="0" fontId="0" fillId="14" borderId="43" xfId="0" applyFill="1" applyBorder="1" applyAlignment="1">
      <alignment vertical="center"/>
    </xf>
    <xf numFmtId="9" fontId="0" fillId="0" borderId="32" xfId="0" applyNumberFormat="1" applyFill="1" applyBorder="1" applyAlignment="1">
      <alignment vertical="center"/>
    </xf>
    <xf numFmtId="9" fontId="0" fillId="4" borderId="36" xfId="0" applyNumberFormat="1" applyFill="1" applyBorder="1" applyAlignment="1">
      <alignment vertical="center"/>
    </xf>
    <xf numFmtId="9" fontId="0" fillId="4" borderId="37" xfId="0" applyNumberFormat="1" applyFill="1" applyBorder="1" applyAlignment="1">
      <alignment vertical="center"/>
    </xf>
    <xf numFmtId="9" fontId="0" fillId="4" borderId="27" xfId="0" applyNumberFormat="1" applyFill="1" applyBorder="1" applyAlignment="1">
      <alignment vertical="center"/>
    </xf>
    <xf numFmtId="9" fontId="0" fillId="0" borderId="1" xfId="0" applyNumberFormat="1" applyBorder="1" applyAlignment="1">
      <alignment vertical="center"/>
    </xf>
    <xf numFmtId="9" fontId="0" fillId="0" borderId="3" xfId="0" applyNumberFormat="1" applyBorder="1" applyAlignment="1">
      <alignment vertical="center"/>
    </xf>
    <xf numFmtId="9" fontId="0" fillId="0" borderId="7" xfId="0" applyNumberFormat="1" applyBorder="1" applyAlignment="1">
      <alignment vertical="center"/>
    </xf>
    <xf numFmtId="9" fontId="0" fillId="2" borderId="13" xfId="0" applyNumberFormat="1" applyFill="1" applyBorder="1" applyAlignment="1">
      <alignment vertical="center"/>
    </xf>
    <xf numFmtId="9" fontId="0" fillId="2" borderId="14" xfId="0" applyNumberFormat="1" applyFill="1" applyBorder="1" applyAlignment="1">
      <alignment vertical="center"/>
    </xf>
    <xf numFmtId="0" fontId="0" fillId="0" borderId="7" xfId="0" applyBorder="1" applyAlignment="1">
      <alignment horizontal="right" vertical="center"/>
    </xf>
    <xf numFmtId="0" fontId="0" fillId="0" borderId="8" xfId="0" applyBorder="1" applyAlignment="1">
      <alignment horizontal="right" vertical="center"/>
    </xf>
    <xf numFmtId="9" fontId="0" fillId="0" borderId="7" xfId="0" applyNumberFormat="1" applyBorder="1" applyAlignment="1">
      <alignment horizontal="right" vertical="center"/>
    </xf>
    <xf numFmtId="9" fontId="0" fillId="0" borderId="8" xfId="0" applyNumberFormat="1" applyBorder="1" applyAlignment="1">
      <alignment horizontal="right" vertical="center"/>
    </xf>
    <xf numFmtId="0" fontId="7" fillId="0" borderId="15" xfId="0" applyFont="1" applyBorder="1" applyAlignment="1">
      <alignment vertical="center"/>
    </xf>
    <xf numFmtId="0" fontId="0" fillId="0" borderId="9" xfId="0" applyNumberFormat="1" applyFont="1" applyBorder="1" applyAlignment="1">
      <alignment vertical="center"/>
    </xf>
    <xf numFmtId="0" fontId="0" fillId="14" borderId="41" xfId="0" applyFill="1" applyBorder="1" applyAlignment="1">
      <alignment vertical="center"/>
    </xf>
    <xf numFmtId="0" fontId="16" fillId="0" borderId="1" xfId="0" applyFont="1" applyBorder="1" applyAlignment="1">
      <alignment vertical="center"/>
    </xf>
    <xf numFmtId="0" fontId="16" fillId="0" borderId="3" xfId="0" applyFont="1" applyBorder="1" applyAlignment="1">
      <alignment vertical="center"/>
    </xf>
    <xf numFmtId="0" fontId="0" fillId="0" borderId="105" xfId="0" applyBorder="1" applyAlignment="1">
      <alignment vertical="center"/>
    </xf>
    <xf numFmtId="0" fontId="0" fillId="14" borderId="39" xfId="0" applyFill="1" applyBorder="1" applyAlignment="1">
      <alignment vertical="center"/>
    </xf>
    <xf numFmtId="9" fontId="0" fillId="0" borderId="106" xfId="0" applyNumberFormat="1" applyBorder="1" applyAlignment="1">
      <alignment vertical="center"/>
    </xf>
    <xf numFmtId="0" fontId="0" fillId="0" borderId="21" xfId="0" applyBorder="1" applyAlignment="1">
      <alignment vertical="center"/>
    </xf>
    <xf numFmtId="9" fontId="0" fillId="2" borderId="32" xfId="0" applyNumberFormat="1" applyFill="1" applyBorder="1" applyAlignment="1">
      <alignment vertical="center"/>
    </xf>
    <xf numFmtId="0" fontId="0" fillId="2" borderId="2" xfId="0" applyFont="1" applyFill="1" applyBorder="1" applyAlignment="1">
      <alignment vertical="center"/>
    </xf>
    <xf numFmtId="0" fontId="0" fillId="0" borderId="31" xfId="0" applyBorder="1" applyAlignment="1">
      <alignment vertical="center"/>
    </xf>
    <xf numFmtId="0" fontId="0" fillId="8" borderId="12" xfId="0" applyFill="1" applyBorder="1" applyAlignment="1">
      <alignment vertical="center"/>
    </xf>
    <xf numFmtId="9" fontId="0" fillId="0" borderId="54" xfId="0" applyNumberFormat="1" applyFill="1" applyBorder="1" applyAlignment="1">
      <alignment vertical="center"/>
    </xf>
    <xf numFmtId="9" fontId="0" fillId="0" borderId="49" xfId="0" applyNumberFormat="1" applyBorder="1" applyAlignment="1">
      <alignment vertical="center"/>
    </xf>
    <xf numFmtId="9" fontId="0" fillId="0" borderId="28" xfId="0" applyNumberFormat="1" applyFill="1" applyBorder="1" applyAlignment="1">
      <alignment vertical="center"/>
    </xf>
    <xf numFmtId="9" fontId="0" fillId="0" borderId="41" xfId="0" applyNumberFormat="1" applyFill="1" applyBorder="1" applyAlignment="1">
      <alignment vertical="center"/>
    </xf>
    <xf numFmtId="0" fontId="0" fillId="2" borderId="41" xfId="0" applyFill="1" applyBorder="1" applyAlignment="1">
      <alignment horizontal="right" vertical="center"/>
    </xf>
    <xf numFmtId="0" fontId="8" fillId="0" borderId="36" xfId="0" applyFont="1" applyFill="1" applyBorder="1" applyAlignment="1">
      <alignment vertical="center"/>
    </xf>
    <xf numFmtId="0" fontId="0" fillId="0" borderId="37" xfId="0" applyFill="1" applyBorder="1" applyAlignment="1">
      <alignment vertical="center"/>
    </xf>
    <xf numFmtId="0" fontId="0" fillId="0" borderId="3" xfId="0" applyFill="1" applyBorder="1" applyAlignment="1">
      <alignment vertical="center"/>
    </xf>
    <xf numFmtId="9" fontId="0" fillId="0" borderId="35" xfId="0" applyNumberFormat="1" applyFill="1" applyBorder="1" applyAlignment="1">
      <alignment vertical="center"/>
    </xf>
    <xf numFmtId="0" fontId="0" fillId="0" borderId="17" xfId="0" applyNumberFormat="1" applyFont="1" applyFill="1" applyBorder="1" applyAlignment="1">
      <alignment vertical="center"/>
    </xf>
    <xf numFmtId="0" fontId="0" fillId="0" borderId="11" xfId="0" applyBorder="1" applyAlignment="1">
      <alignment horizontal="center" vertical="center"/>
    </xf>
    <xf numFmtId="0" fontId="0" fillId="0" borderId="16" xfId="0" applyFill="1" applyBorder="1" applyAlignment="1">
      <alignment horizontal="center" vertical="center"/>
    </xf>
    <xf numFmtId="9" fontId="0" fillId="0" borderId="17" xfId="0" applyNumberFormat="1" applyFill="1" applyBorder="1" applyAlignment="1">
      <alignment vertical="center"/>
    </xf>
    <xf numFmtId="9" fontId="16" fillId="0" borderId="18" xfId="0" applyNumberFormat="1" applyFont="1" applyFill="1" applyBorder="1" applyAlignment="1">
      <alignment vertical="center"/>
    </xf>
    <xf numFmtId="0" fontId="16" fillId="0" borderId="0" xfId="0" applyFont="1" applyFill="1" applyBorder="1" applyAlignment="1">
      <alignment vertical="center"/>
    </xf>
    <xf numFmtId="0" fontId="0" fillId="8" borderId="21" xfId="0" applyFont="1" applyFill="1" applyBorder="1" applyAlignment="1">
      <alignment vertical="center"/>
    </xf>
    <xf numFmtId="0" fontId="0" fillId="4" borderId="12" xfId="0" applyNumberFormat="1" applyFill="1" applyBorder="1" applyAlignment="1">
      <alignment vertical="center"/>
    </xf>
    <xf numFmtId="9" fontId="0" fillId="0" borderId="15" xfId="0" applyNumberFormat="1" applyFill="1" applyBorder="1" applyAlignment="1">
      <alignment vertical="center"/>
    </xf>
    <xf numFmtId="0" fontId="0" fillId="0" borderId="9" xfId="0" applyBorder="1" applyAlignment="1">
      <alignment horizontal="right" vertical="center"/>
    </xf>
    <xf numFmtId="0" fontId="0" fillId="0" borderId="8" xfId="0" applyBorder="1" applyAlignment="1">
      <alignment horizontal="center" vertical="center"/>
    </xf>
    <xf numFmtId="0" fontId="0" fillId="0" borderId="7" xfId="0" applyBorder="1" applyAlignment="1">
      <alignment vertical="center"/>
    </xf>
    <xf numFmtId="0" fontId="0" fillId="10" borderId="9" xfId="0" applyFill="1" applyBorder="1" applyAlignment="1">
      <alignment vertical="center"/>
    </xf>
    <xf numFmtId="0" fontId="0" fillId="4" borderId="26" xfId="0" applyFont="1" applyFill="1" applyBorder="1" applyAlignment="1">
      <alignment horizontal="center" vertical="center" wrapText="1"/>
    </xf>
    <xf numFmtId="9" fontId="0" fillId="2" borderId="55" xfId="0" applyNumberFormat="1" applyFill="1" applyBorder="1" applyAlignment="1">
      <alignment vertical="center"/>
    </xf>
    <xf numFmtId="0" fontId="7" fillId="0" borderId="21" xfId="0" applyFont="1" applyFill="1" applyBorder="1" applyAlignment="1">
      <alignment vertical="center"/>
    </xf>
    <xf numFmtId="0" fontId="7" fillId="0" borderId="49" xfId="0" applyFont="1" applyFill="1" applyBorder="1" applyAlignment="1">
      <alignment vertical="center"/>
    </xf>
    <xf numFmtId="0" fontId="0" fillId="4" borderId="0" xfId="0" applyFill="1" applyBorder="1" applyAlignment="1">
      <alignment horizontal="center" vertical="center"/>
    </xf>
    <xf numFmtId="0" fontId="16" fillId="4" borderId="0" xfId="0" applyFont="1" applyFill="1" applyBorder="1" applyAlignment="1">
      <alignment horizontal="center" vertical="center"/>
    </xf>
    <xf numFmtId="0" fontId="0" fillId="4" borderId="50" xfId="0" applyFill="1" applyBorder="1" applyAlignment="1">
      <alignment horizontal="center" vertical="center"/>
    </xf>
    <xf numFmtId="0" fontId="0" fillId="4" borderId="42" xfId="0" applyFill="1" applyBorder="1" applyAlignment="1">
      <alignment horizontal="right" vertical="center"/>
    </xf>
    <xf numFmtId="0" fontId="0" fillId="8" borderId="66" xfId="0" applyFill="1" applyBorder="1" applyAlignment="1">
      <alignment horizontal="center" vertical="center"/>
    </xf>
    <xf numFmtId="0" fontId="0" fillId="8" borderId="21" xfId="0" applyFill="1" applyBorder="1" applyAlignment="1">
      <alignment horizontal="center" vertical="center"/>
    </xf>
    <xf numFmtId="0" fontId="16" fillId="0" borderId="13" xfId="0" applyFont="1" applyFill="1" applyBorder="1" applyAlignment="1">
      <alignment vertical="center"/>
    </xf>
    <xf numFmtId="176" fontId="0" fillId="0" borderId="0" xfId="0" applyNumberFormat="1" applyFont="1" applyFill="1" applyBorder="1" applyAlignment="1">
      <alignment vertical="center"/>
    </xf>
    <xf numFmtId="0" fontId="0" fillId="0" borderId="11" xfId="0" applyNumberFormat="1" applyFill="1" applyBorder="1" applyAlignment="1">
      <alignment vertical="center"/>
    </xf>
    <xf numFmtId="0" fontId="0" fillId="4" borderId="12" xfId="0" applyNumberFormat="1" applyFill="1" applyBorder="1" applyAlignment="1">
      <alignment vertical="center"/>
    </xf>
    <xf numFmtId="9" fontId="0" fillId="0" borderId="41" xfId="0" applyNumberFormat="1" applyFont="1" applyFill="1" applyBorder="1" applyAlignment="1">
      <alignment vertical="center"/>
    </xf>
    <xf numFmtId="0" fontId="0" fillId="0" borderId="53" xfId="0" applyFont="1" applyFill="1" applyBorder="1" applyAlignment="1">
      <alignment vertical="center"/>
    </xf>
    <xf numFmtId="0" fontId="16" fillId="0" borderId="81" xfId="0" applyFont="1" applyBorder="1" applyAlignment="1">
      <alignment vertical="center"/>
    </xf>
    <xf numFmtId="0" fontId="0" fillId="0" borderId="41" xfId="0" applyFont="1" applyFill="1" applyBorder="1" applyAlignment="1">
      <alignment vertical="center"/>
    </xf>
    <xf numFmtId="0" fontId="0" fillId="2" borderId="11" xfId="0" applyFill="1" applyBorder="1" applyAlignment="1">
      <alignment vertical="center"/>
    </xf>
    <xf numFmtId="0" fontId="0" fillId="2" borderId="107" xfId="0" applyFill="1" applyBorder="1" applyAlignment="1">
      <alignment vertical="center"/>
    </xf>
    <xf numFmtId="0" fontId="0" fillId="0" borderId="108" xfId="0" applyBorder="1" applyAlignment="1">
      <alignment vertical="center"/>
    </xf>
    <xf numFmtId="0" fontId="0" fillId="0" borderId="1" xfId="0" applyNumberFormat="1" applyBorder="1" applyAlignment="1">
      <alignment vertical="center"/>
    </xf>
    <xf numFmtId="0" fontId="0" fillId="0" borderId="22" xfId="0" applyNumberFormat="1" applyBorder="1" applyAlignment="1">
      <alignment vertical="center"/>
    </xf>
    <xf numFmtId="0" fontId="0" fillId="0" borderId="47" xfId="0" applyNumberFormat="1" applyBorder="1" applyAlignment="1">
      <alignment vertical="center"/>
    </xf>
    <xf numFmtId="0" fontId="0" fillId="4" borderId="13" xfId="0" applyNumberFormat="1" applyFill="1" applyBorder="1" applyAlignment="1">
      <alignment vertical="center"/>
    </xf>
    <xf numFmtId="0" fontId="0" fillId="4" borderId="68" xfId="0" applyNumberFormat="1" applyFill="1" applyBorder="1" applyAlignment="1">
      <alignment vertical="center"/>
    </xf>
    <xf numFmtId="0" fontId="0" fillId="4" borderId="60" xfId="0" applyNumberFormat="1" applyFill="1" applyBorder="1" applyAlignment="1">
      <alignment vertical="center"/>
    </xf>
    <xf numFmtId="0" fontId="0" fillId="0" borderId="10" xfId="0" applyNumberFormat="1" applyBorder="1" applyAlignment="1">
      <alignment vertical="center"/>
    </xf>
    <xf numFmtId="0" fontId="0" fillId="0" borderId="12" xfId="0" applyNumberFormat="1" applyBorder="1" applyAlignment="1">
      <alignment vertical="center"/>
    </xf>
    <xf numFmtId="0" fontId="0" fillId="4" borderId="7" xfId="0" applyNumberFormat="1" applyFill="1" applyBorder="1" applyAlignment="1">
      <alignment vertical="center"/>
    </xf>
    <xf numFmtId="0" fontId="0" fillId="4" borderId="8" xfId="0" applyNumberFormat="1" applyFill="1" applyBorder="1" applyAlignment="1">
      <alignment vertical="center"/>
    </xf>
    <xf numFmtId="0" fontId="0" fillId="10" borderId="13" xfId="0" applyNumberFormat="1" applyFill="1" applyBorder="1" applyAlignment="1">
      <alignment vertical="center"/>
    </xf>
    <xf numFmtId="0" fontId="0" fillId="10" borderId="68" xfId="0" applyNumberFormat="1" applyFill="1" applyBorder="1" applyAlignment="1">
      <alignment vertical="center"/>
    </xf>
    <xf numFmtId="0" fontId="0" fillId="10" borderId="60" xfId="0" applyNumberFormat="1" applyFill="1" applyBorder="1" applyAlignment="1">
      <alignment vertical="center"/>
    </xf>
    <xf numFmtId="0" fontId="0" fillId="2" borderId="41" xfId="0" applyFont="1" applyFill="1" applyBorder="1" applyAlignment="1" applyProtection="1">
      <alignment vertical="center"/>
      <protection locked="0"/>
    </xf>
    <xf numFmtId="10" fontId="0" fillId="0" borderId="28" xfId="0" applyNumberFormat="1" applyBorder="1" applyAlignment="1">
      <alignment vertical="center"/>
    </xf>
    <xf numFmtId="178" fontId="0" fillId="10" borderId="40" xfId="0" applyNumberFormat="1" applyFill="1" applyBorder="1" applyAlignment="1">
      <alignment vertical="center"/>
    </xf>
    <xf numFmtId="0" fontId="0" fillId="10" borderId="7" xfId="0" applyFill="1" applyBorder="1" applyAlignment="1">
      <alignment horizontal="center" vertical="center" shrinkToFit="1"/>
    </xf>
    <xf numFmtId="178" fontId="0" fillId="0" borderId="15" xfId="0" applyNumberFormat="1" applyFill="1" applyBorder="1" applyAlignment="1">
      <alignment vertical="center"/>
    </xf>
    <xf numFmtId="0" fontId="0" fillId="4" borderId="32" xfId="0" applyNumberFormat="1" applyFill="1" applyBorder="1" applyAlignment="1">
      <alignment horizontal="right" vertical="center"/>
    </xf>
    <xf numFmtId="0" fontId="0" fillId="8" borderId="65" xfId="0" applyFont="1" applyFill="1" applyBorder="1" applyAlignment="1">
      <alignment horizontal="center" vertical="center"/>
    </xf>
    <xf numFmtId="0" fontId="0" fillId="8" borderId="100" xfId="0" applyFont="1" applyFill="1" applyBorder="1" applyAlignment="1">
      <alignment vertical="center"/>
    </xf>
    <xf numFmtId="0" fontId="21" fillId="0" borderId="0" xfId="0" applyFont="1" applyFill="1" applyBorder="1" applyAlignment="1">
      <alignment vertical="center"/>
    </xf>
    <xf numFmtId="0" fontId="0" fillId="4" borderId="44" xfId="0" applyFill="1" applyBorder="1" applyAlignment="1">
      <alignment vertical="center"/>
    </xf>
    <xf numFmtId="0" fontId="0" fillId="0" borderId="41" xfId="0" applyNumberFormat="1" applyFill="1" applyBorder="1" applyAlignment="1">
      <alignment horizontal="right" vertical="center"/>
    </xf>
    <xf numFmtId="0" fontId="0" fillId="0" borderId="15" xfId="0" applyNumberFormat="1" applyFill="1" applyBorder="1" applyAlignment="1">
      <alignment horizontal="right" vertical="center"/>
    </xf>
    <xf numFmtId="0" fontId="0" fillId="4" borderId="0" xfId="0" applyNumberFormat="1" applyFill="1" applyBorder="1" applyAlignment="1">
      <alignment vertical="center"/>
    </xf>
    <xf numFmtId="0" fontId="0" fillId="0" borderId="10" xfId="0" applyFill="1" applyBorder="1" applyAlignment="1">
      <alignment vertical="center"/>
    </xf>
    <xf numFmtId="0" fontId="0" fillId="0" borderId="7" xfId="0" applyFill="1" applyBorder="1" applyAlignment="1">
      <alignment vertical="center" shrinkToFit="1"/>
    </xf>
    <xf numFmtId="9" fontId="0" fillId="0" borderId="13" xfId="0" applyNumberFormat="1" applyFill="1" applyBorder="1" applyAlignment="1">
      <alignment vertical="center"/>
    </xf>
    <xf numFmtId="0" fontId="0" fillId="10" borderId="9" xfId="0" applyNumberFormat="1" applyFill="1" applyBorder="1" applyAlignment="1">
      <alignment horizontal="right" vertical="center"/>
    </xf>
    <xf numFmtId="0" fontId="0" fillId="8" borderId="53" xfId="0" applyFont="1" applyFill="1" applyBorder="1" applyAlignment="1">
      <alignment vertical="center"/>
    </xf>
    <xf numFmtId="0" fontId="0" fillId="8" borderId="20" xfId="0" applyFont="1" applyFill="1" applyBorder="1" applyAlignment="1">
      <alignment horizontal="center" vertical="center"/>
    </xf>
    <xf numFmtId="0" fontId="0" fillId="8" borderId="36" xfId="0" applyFont="1" applyFill="1" applyBorder="1" applyAlignment="1">
      <alignment horizontal="center" vertical="center"/>
    </xf>
    <xf numFmtId="0" fontId="0" fillId="8" borderId="66" xfId="0" applyFont="1" applyFill="1" applyBorder="1" applyAlignment="1">
      <alignment vertical="center"/>
    </xf>
    <xf numFmtId="0" fontId="0" fillId="8" borderId="69" xfId="0" applyFont="1" applyFill="1" applyBorder="1" applyAlignment="1">
      <alignment vertical="center"/>
    </xf>
    <xf numFmtId="0" fontId="0" fillId="8" borderId="67" xfId="0" applyFont="1" applyFill="1" applyBorder="1" applyAlignment="1">
      <alignment vertical="center"/>
    </xf>
    <xf numFmtId="0" fontId="0" fillId="2" borderId="39" xfId="0" applyFont="1" applyFill="1" applyBorder="1" applyAlignment="1" applyProtection="1">
      <alignment vertical="center"/>
      <protection locked="0"/>
    </xf>
    <xf numFmtId="0" fontId="13" fillId="0" borderId="4" xfId="0" applyFont="1" applyBorder="1" applyAlignment="1">
      <alignment vertical="center"/>
    </xf>
    <xf numFmtId="0" fontId="13" fillId="0" borderId="15" xfId="0" applyFont="1" applyBorder="1" applyAlignment="1">
      <alignment vertical="center"/>
    </xf>
    <xf numFmtId="0" fontId="16" fillId="0" borderId="1" xfId="0" applyFont="1" applyBorder="1" applyAlignment="1">
      <alignment vertical="center"/>
    </xf>
    <xf numFmtId="0" fontId="16" fillId="0" borderId="3" xfId="0" applyFont="1" applyBorder="1" applyAlignment="1">
      <alignment vertical="center"/>
    </xf>
    <xf numFmtId="0" fontId="0" fillId="0" borderId="4" xfId="0" applyBorder="1" applyAlignment="1">
      <alignment horizontal="right" vertical="center"/>
    </xf>
    <xf numFmtId="0" fontId="0" fillId="0" borderId="82" xfId="0" applyBorder="1" applyAlignment="1">
      <alignment vertical="center"/>
    </xf>
    <xf numFmtId="0" fontId="0" fillId="10" borderId="9" xfId="0" applyFill="1" applyBorder="1" applyAlignment="1">
      <alignment horizontal="right" vertical="center"/>
    </xf>
    <xf numFmtId="0" fontId="0" fillId="8" borderId="52" xfId="0" applyFill="1" applyBorder="1" applyAlignment="1">
      <alignment horizontal="center" vertical="center"/>
    </xf>
    <xf numFmtId="0" fontId="0" fillId="8" borderId="64" xfId="0" applyFill="1" applyBorder="1" applyAlignment="1">
      <alignment horizontal="center" vertical="center"/>
    </xf>
    <xf numFmtId="0" fontId="0" fillId="0" borderId="61" xfId="0" applyBorder="1" applyAlignment="1">
      <alignment horizontal="right" vertical="center"/>
    </xf>
    <xf numFmtId="0" fontId="0" fillId="0" borderId="61" xfId="0" applyBorder="1" applyAlignment="1">
      <alignment vertical="center"/>
    </xf>
    <xf numFmtId="0" fontId="0" fillId="8" borderId="15" xfId="0" applyFont="1" applyFill="1" applyBorder="1" applyAlignment="1">
      <alignment vertical="center"/>
    </xf>
    <xf numFmtId="0" fontId="7" fillId="0" borderId="4" xfId="0" applyNumberFormat="1" applyFont="1" applyFill="1" applyBorder="1" applyAlignment="1">
      <alignment vertical="center"/>
    </xf>
    <xf numFmtId="0" fontId="7" fillId="0" borderId="14" xfId="0" applyNumberFormat="1" applyFont="1" applyFill="1" applyBorder="1" applyAlignment="1">
      <alignment vertical="center"/>
    </xf>
    <xf numFmtId="0" fontId="0" fillId="10" borderId="9" xfId="0" applyNumberFormat="1" applyFill="1" applyBorder="1" applyAlignment="1">
      <alignment vertical="center"/>
    </xf>
    <xf numFmtId="0" fontId="0" fillId="0" borderId="51" xfId="0" applyNumberFormat="1" applyBorder="1" applyAlignment="1">
      <alignment vertical="center"/>
    </xf>
    <xf numFmtId="0" fontId="0" fillId="8" borderId="69" xfId="0" applyFill="1" applyBorder="1" applyAlignment="1">
      <alignment vertical="center"/>
    </xf>
    <xf numFmtId="0" fontId="0" fillId="8" borderId="53" xfId="0" applyFill="1" applyBorder="1" applyAlignment="1">
      <alignment horizontal="center" vertical="center"/>
    </xf>
    <xf numFmtId="0" fontId="0" fillId="8" borderId="36" xfId="0" applyFill="1" applyBorder="1" applyAlignment="1">
      <alignment horizontal="center" vertical="center"/>
    </xf>
    <xf numFmtId="0" fontId="13" fillId="0" borderId="27" xfId="0" applyFont="1" applyFill="1" applyBorder="1" applyAlignment="1">
      <alignment vertical="center"/>
    </xf>
    <xf numFmtId="0" fontId="13" fillId="0" borderId="28" xfId="0" applyFont="1" applyBorder="1" applyAlignment="1">
      <alignment vertical="center"/>
    </xf>
    <xf numFmtId="0" fontId="13" fillId="0" borderId="27" xfId="0" applyFont="1" applyBorder="1" applyAlignment="1">
      <alignment vertical="center"/>
    </xf>
    <xf numFmtId="0" fontId="0" fillId="8" borderId="28" xfId="0" applyFill="1" applyBorder="1" applyAlignment="1">
      <alignment vertical="center"/>
    </xf>
    <xf numFmtId="9" fontId="0" fillId="0" borderId="17" xfId="0" applyNumberFormat="1" applyBorder="1" applyAlignment="1">
      <alignment vertical="center"/>
    </xf>
    <xf numFmtId="0" fontId="0" fillId="0" borderId="42" xfId="0" applyNumberFormat="1" applyFill="1" applyBorder="1" applyAlignment="1">
      <alignment vertical="center"/>
    </xf>
    <xf numFmtId="0" fontId="0" fillId="8" borderId="35" xfId="0" applyFill="1" applyBorder="1" applyAlignment="1">
      <alignment vertical="center"/>
    </xf>
    <xf numFmtId="0" fontId="0" fillId="0" borderId="6" xfId="0" applyNumberFormat="1" applyFill="1" applyBorder="1" applyAlignment="1">
      <alignment vertical="center"/>
    </xf>
    <xf numFmtId="0" fontId="0" fillId="8" borderId="64" xfId="0" applyFill="1" applyBorder="1" applyAlignment="1">
      <alignment vertical="center"/>
    </xf>
    <xf numFmtId="0" fontId="0" fillId="8" borderId="64" xfId="0" applyNumberFormat="1" applyFill="1" applyBorder="1" applyAlignment="1">
      <alignment vertical="center"/>
    </xf>
    <xf numFmtId="0" fontId="0" fillId="8" borderId="64" xfId="0" applyNumberFormat="1" applyFill="1" applyBorder="1" applyAlignment="1">
      <alignment horizontal="center" vertical="center"/>
    </xf>
    <xf numFmtId="0" fontId="0" fillId="8" borderId="82" xfId="0" applyFill="1" applyBorder="1" applyAlignment="1">
      <alignment vertical="center"/>
    </xf>
    <xf numFmtId="0" fontId="0" fillId="0" borderId="39" xfId="0" applyBorder="1" applyAlignment="1">
      <alignment horizontal="right" vertical="center"/>
    </xf>
    <xf numFmtId="9" fontId="7" fillId="0" borderId="4" xfId="0" applyNumberFormat="1" applyFont="1" applyFill="1" applyBorder="1" applyAlignment="1">
      <alignment horizontal="right" vertical="center"/>
    </xf>
    <xf numFmtId="0" fontId="8" fillId="4" borderId="21" xfId="0" applyFont="1" applyFill="1" applyBorder="1" applyAlignment="1">
      <alignment horizontal="center" vertical="center"/>
    </xf>
    <xf numFmtId="0" fontId="0" fillId="10" borderId="21" xfId="0" applyFont="1" applyFill="1" applyBorder="1" applyAlignment="1">
      <alignment horizontal="center" vertical="center"/>
    </xf>
    <xf numFmtId="0" fontId="0" fillId="8" borderId="66" xfId="0" applyFill="1" applyBorder="1" applyAlignment="1">
      <alignment vertical="center"/>
    </xf>
    <xf numFmtId="9" fontId="0" fillId="8" borderId="67" xfId="0" applyNumberFormat="1" applyFill="1" applyBorder="1" applyAlignment="1">
      <alignment vertical="center"/>
    </xf>
    <xf numFmtId="0" fontId="0" fillId="0" borderId="51" xfId="0" applyFill="1" applyBorder="1" applyAlignment="1">
      <alignment vertical="center"/>
    </xf>
    <xf numFmtId="0" fontId="16" fillId="0" borderId="99" xfId="0" applyFont="1" applyFill="1" applyBorder="1" applyAlignment="1">
      <alignment vertical="center"/>
    </xf>
    <xf numFmtId="9" fontId="0" fillId="0" borderId="80" xfId="0" applyNumberFormat="1" applyBorder="1" applyAlignment="1">
      <alignment vertical="center"/>
    </xf>
    <xf numFmtId="0" fontId="0" fillId="0" borderId="3" xfId="0" applyBorder="1" applyAlignment="1">
      <alignment horizontal="right" vertical="center"/>
    </xf>
    <xf numFmtId="176" fontId="7" fillId="9" borderId="0" xfId="0" applyNumberFormat="1" applyFont="1" applyFill="1" applyBorder="1" applyAlignment="1">
      <alignment vertical="center"/>
    </xf>
    <xf numFmtId="176" fontId="7" fillId="9" borderId="50" xfId="0" applyNumberFormat="1" applyFont="1" applyFill="1" applyBorder="1" applyAlignment="1">
      <alignment vertical="center"/>
    </xf>
    <xf numFmtId="0" fontId="13" fillId="0" borderId="17" xfId="0" applyFont="1" applyBorder="1" applyAlignment="1">
      <alignment vertical="center"/>
    </xf>
    <xf numFmtId="0" fontId="0" fillId="0" borderId="26" xfId="0" applyBorder="1" applyAlignment="1">
      <alignment vertical="center"/>
    </xf>
    <xf numFmtId="9" fontId="0" fillId="0" borderId="55" xfId="0" applyNumberFormat="1" applyBorder="1" applyAlignment="1">
      <alignment vertical="center"/>
    </xf>
    <xf numFmtId="0" fontId="8" fillId="0" borderId="3" xfId="0" applyFont="1" applyBorder="1" applyAlignment="1">
      <alignment vertical="center"/>
    </xf>
    <xf numFmtId="9" fontId="0" fillId="8" borderId="49" xfId="0" applyNumberFormat="1" applyFill="1" applyBorder="1" applyAlignment="1">
      <alignment vertical="center"/>
    </xf>
    <xf numFmtId="0" fontId="0" fillId="0" borderId="21" xfId="0" applyFont="1" applyFill="1" applyBorder="1" applyAlignment="1">
      <alignment vertical="center"/>
    </xf>
    <xf numFmtId="0" fontId="0" fillId="0" borderId="49" xfId="0" applyFont="1" applyFill="1" applyBorder="1" applyAlignment="1">
      <alignment vertical="center"/>
    </xf>
    <xf numFmtId="9" fontId="0" fillId="2" borderId="43" xfId="0" applyNumberFormat="1" applyFill="1" applyBorder="1" applyAlignment="1">
      <alignment vertical="center"/>
    </xf>
    <xf numFmtId="0" fontId="0" fillId="0" borderId="12" xfId="0" applyNumberFormat="1" applyFill="1" applyBorder="1" applyAlignment="1">
      <alignment vertical="center" shrinkToFit="1"/>
    </xf>
    <xf numFmtId="0" fontId="0" fillId="14" borderId="4" xfId="0" applyFill="1" applyBorder="1" applyAlignment="1">
      <alignment vertical="center"/>
    </xf>
    <xf numFmtId="9" fontId="0" fillId="0" borderId="14" xfId="0" applyNumberFormat="1" applyBorder="1" applyAlignment="1">
      <alignment vertical="center"/>
    </xf>
    <xf numFmtId="0" fontId="6" fillId="0" borderId="10" xfId="0" applyFont="1" applyFill="1" applyBorder="1" applyAlignment="1">
      <alignment vertical="center"/>
    </xf>
    <xf numFmtId="9" fontId="0" fillId="0" borderId="50" xfId="0" applyNumberFormat="1" applyBorder="1" applyAlignment="1">
      <alignment vertical="center"/>
    </xf>
    <xf numFmtId="0" fontId="0" fillId="2" borderId="35" xfId="0" applyFill="1" applyBorder="1" applyAlignment="1">
      <alignment vertical="center"/>
    </xf>
    <xf numFmtId="0" fontId="16" fillId="0" borderId="16" xfId="0" applyFont="1" applyFill="1" applyBorder="1" applyAlignment="1">
      <alignment vertical="center"/>
    </xf>
    <xf numFmtId="0" fontId="0" fillId="0" borderId="18" xfId="0" applyFill="1" applyBorder="1" applyAlignment="1">
      <alignment vertical="center"/>
    </xf>
    <xf numFmtId="0" fontId="0" fillId="0" borderId="14" xfId="0" applyFont="1" applyBorder="1" applyAlignment="1">
      <alignment horizontal="right" vertical="center"/>
    </xf>
    <xf numFmtId="0" fontId="16" fillId="0" borderId="8" xfId="0" applyFont="1" applyBorder="1" applyAlignment="1">
      <alignment vertical="center"/>
    </xf>
    <xf numFmtId="0" fontId="0" fillId="0" borderId="63" xfId="0" applyFill="1" applyBorder="1" applyAlignment="1">
      <alignment vertical="center"/>
    </xf>
    <xf numFmtId="0" fontId="13" fillId="0" borderId="12" xfId="0" applyFont="1" applyBorder="1" applyAlignment="1">
      <alignment vertical="center"/>
    </xf>
    <xf numFmtId="0" fontId="0" fillId="0" borderId="41" xfId="0" applyFill="1" applyBorder="1" applyAlignment="1">
      <alignment vertical="center"/>
    </xf>
    <xf numFmtId="9" fontId="0" fillId="0" borderId="28" xfId="0" applyNumberFormat="1" applyFill="1" applyBorder="1" applyAlignment="1">
      <alignment vertical="center"/>
    </xf>
    <xf numFmtId="0" fontId="0" fillId="4" borderId="27" xfId="0" applyNumberFormat="1" applyFill="1" applyBorder="1" applyAlignment="1">
      <alignment vertical="center"/>
    </xf>
    <xf numFmtId="0" fontId="21" fillId="0" borderId="50" xfId="0" applyFont="1" applyBorder="1" applyAlignment="1">
      <alignment vertical="center"/>
    </xf>
    <xf numFmtId="176" fontId="0" fillId="8" borderId="52" xfId="0" applyNumberFormat="1" applyFont="1" applyFill="1" applyBorder="1" applyAlignment="1">
      <alignment vertical="center"/>
    </xf>
    <xf numFmtId="9" fontId="0" fillId="8" borderId="17" xfId="0" applyNumberFormat="1" applyFill="1" applyBorder="1" applyAlignment="1">
      <alignment vertical="center"/>
    </xf>
    <xf numFmtId="9" fontId="0" fillId="2" borderId="54" xfId="0" applyNumberFormat="1" applyFill="1" applyBorder="1" applyAlignment="1">
      <alignment vertical="center"/>
    </xf>
    <xf numFmtId="0" fontId="21" fillId="0" borderId="0" xfId="0" applyFont="1" applyBorder="1" applyAlignment="1">
      <alignment horizontal="right" vertical="center"/>
    </xf>
    <xf numFmtId="0" fontId="0" fillId="0" borderId="12" xfId="0" applyFill="1" applyBorder="1" applyAlignment="1">
      <alignment vertical="center"/>
    </xf>
    <xf numFmtId="176" fontId="7" fillId="9" borderId="21" xfId="0" applyNumberFormat="1" applyFont="1" applyFill="1" applyBorder="1" applyAlignment="1">
      <alignment vertical="center"/>
    </xf>
    <xf numFmtId="176" fontId="7" fillId="9" borderId="33" xfId="0" applyNumberFormat="1" applyFont="1" applyFill="1" applyBorder="1" applyAlignment="1">
      <alignment vertical="center"/>
    </xf>
    <xf numFmtId="0" fontId="0" fillId="5" borderId="1" xfId="0" applyFont="1" applyFill="1" applyBorder="1" applyAlignment="1">
      <alignment vertical="center"/>
    </xf>
    <xf numFmtId="0" fontId="0" fillId="10" borderId="3" xfId="0" applyFill="1" applyBorder="1" applyAlignment="1">
      <alignment vertical="center"/>
    </xf>
    <xf numFmtId="0" fontId="0" fillId="5" borderId="7" xfId="0" applyNumberFormat="1" applyFont="1" applyFill="1" applyBorder="1" applyAlignment="1">
      <alignment vertical="center"/>
    </xf>
    <xf numFmtId="0" fontId="0" fillId="0" borderId="9" xfId="0" applyNumberFormat="1" applyFont="1" applyFill="1" applyBorder="1" applyAlignment="1">
      <alignment horizontal="right" vertical="center"/>
    </xf>
    <xf numFmtId="0" fontId="0" fillId="0" borderId="9" xfId="0" applyNumberFormat="1" applyFont="1" applyFill="1" applyBorder="1" applyAlignment="1">
      <alignment vertical="center"/>
    </xf>
    <xf numFmtId="0" fontId="0" fillId="5" borderId="7" xfId="0" applyNumberFormat="1" applyFont="1" applyFill="1" applyBorder="1" applyAlignment="1">
      <alignment vertical="center" wrapText="1"/>
    </xf>
    <xf numFmtId="0" fontId="0" fillId="0" borderId="9" xfId="0" applyNumberFormat="1" applyFont="1" applyFill="1" applyBorder="1" applyAlignment="1">
      <alignment vertical="center"/>
    </xf>
    <xf numFmtId="0" fontId="0" fillId="5" borderId="7" xfId="0" applyNumberFormat="1" applyFont="1" applyFill="1" applyBorder="1" applyAlignment="1">
      <alignment vertical="center"/>
    </xf>
    <xf numFmtId="0" fontId="0" fillId="0" borderId="9" xfId="0" applyNumberFormat="1" applyFont="1" applyBorder="1" applyAlignment="1">
      <alignment vertical="center"/>
    </xf>
    <xf numFmtId="0" fontId="0" fillId="5" borderId="7" xfId="0" applyFont="1" applyFill="1" applyBorder="1" applyAlignment="1">
      <alignment vertical="center"/>
    </xf>
    <xf numFmtId="0" fontId="0" fillId="0" borderId="9" xfId="0" applyFont="1" applyBorder="1" applyAlignment="1">
      <alignment vertical="center"/>
    </xf>
    <xf numFmtId="0" fontId="0" fillId="5" borderId="7" xfId="0" applyNumberFormat="1" applyFont="1" applyFill="1" applyBorder="1" applyAlignment="1">
      <alignment vertical="center" wrapText="1"/>
    </xf>
    <xf numFmtId="0" fontId="8" fillId="5" borderId="7" xfId="0" applyNumberFormat="1" applyFont="1" applyFill="1" applyBorder="1" applyAlignment="1">
      <alignment vertical="center" wrapText="1"/>
    </xf>
    <xf numFmtId="0" fontId="0" fillId="5" borderId="13" xfId="0" applyNumberFormat="1" applyFont="1" applyFill="1" applyBorder="1" applyAlignment="1">
      <alignment vertical="center"/>
    </xf>
    <xf numFmtId="0" fontId="0" fillId="0" borderId="15" xfId="0" applyNumberFormat="1" applyFont="1" applyFill="1" applyBorder="1" applyAlignment="1">
      <alignment horizontal="right" vertical="center"/>
    </xf>
    <xf numFmtId="0" fontId="8" fillId="0" borderId="52" xfId="0" applyFont="1" applyBorder="1" applyAlignment="1">
      <alignment vertical="center"/>
    </xf>
    <xf numFmtId="0" fontId="0" fillId="0" borderId="52" xfId="0" applyFont="1" applyBorder="1" applyAlignment="1">
      <alignment vertical="center"/>
    </xf>
    <xf numFmtId="0" fontId="0" fillId="0" borderId="66" xfId="0" applyFill="1" applyBorder="1" applyAlignment="1">
      <alignment vertical="center"/>
    </xf>
    <xf numFmtId="0" fontId="0" fillId="4" borderId="4" xfId="0" applyFill="1" applyBorder="1" applyAlignment="1">
      <alignment horizontal="right" vertical="center"/>
    </xf>
    <xf numFmtId="0" fontId="0" fillId="4" borderId="9" xfId="0" applyFill="1" applyBorder="1" applyAlignment="1">
      <alignment horizontal="right" vertical="center"/>
    </xf>
    <xf numFmtId="0" fontId="0" fillId="4" borderId="39" xfId="0" applyFill="1" applyBorder="1" applyAlignment="1">
      <alignment horizontal="right" vertical="center"/>
    </xf>
    <xf numFmtId="0" fontId="8" fillId="0" borderId="49" xfId="0" applyFont="1" applyBorder="1" applyAlignment="1">
      <alignment vertical="center"/>
    </xf>
    <xf numFmtId="0" fontId="0" fillId="4" borderId="2" xfId="0" applyNumberFormat="1" applyFill="1" applyBorder="1" applyAlignment="1">
      <alignment vertical="center"/>
    </xf>
    <xf numFmtId="0" fontId="0" fillId="4" borderId="40" xfId="0" applyNumberFormat="1" applyFill="1" applyBorder="1" applyAlignment="1">
      <alignment vertical="center"/>
    </xf>
    <xf numFmtId="0" fontId="0" fillId="4" borderId="32" xfId="0" applyNumberFormat="1" applyFill="1" applyBorder="1" applyAlignment="1">
      <alignment vertical="center"/>
    </xf>
    <xf numFmtId="0" fontId="16" fillId="10" borderId="109" xfId="0" applyFont="1" applyFill="1" applyBorder="1" applyAlignment="1">
      <alignment vertical="center"/>
    </xf>
    <xf numFmtId="0" fontId="0" fillId="0" borderId="4" xfId="0" applyNumberFormat="1" applyFill="1" applyBorder="1" applyAlignment="1">
      <alignment vertical="center" shrinkToFit="1"/>
    </xf>
    <xf numFmtId="0" fontId="0" fillId="0" borderId="28" xfId="0" applyFont="1" applyBorder="1" applyAlignment="1">
      <alignment vertical="center"/>
    </xf>
    <xf numFmtId="0" fontId="7" fillId="8" borderId="64" xfId="0" applyFont="1" applyFill="1" applyBorder="1" applyAlignment="1">
      <alignment vertical="center"/>
    </xf>
    <xf numFmtId="0" fontId="7" fillId="8" borderId="82" xfId="0" applyFont="1" applyFill="1" applyBorder="1" applyAlignment="1">
      <alignment vertical="center"/>
    </xf>
    <xf numFmtId="0" fontId="0" fillId="0" borderId="16" xfId="0" applyFont="1" applyBorder="1" applyAlignment="1">
      <alignment vertical="center"/>
    </xf>
    <xf numFmtId="0" fontId="0" fillId="3" borderId="19" xfId="0" applyFill="1" applyBorder="1" applyAlignment="1">
      <alignment vertical="center" shrinkToFit="1"/>
    </xf>
    <xf numFmtId="0" fontId="0" fillId="4" borderId="40" xfId="0" applyFill="1" applyBorder="1" applyAlignment="1">
      <alignment vertical="center" shrinkToFit="1"/>
    </xf>
    <xf numFmtId="0" fontId="7" fillId="4" borderId="79" xfId="0" applyFont="1" applyFill="1" applyBorder="1" applyAlignment="1">
      <alignment vertical="center"/>
    </xf>
    <xf numFmtId="0" fontId="7" fillId="6" borderId="79" xfId="0" applyFont="1" applyFill="1" applyBorder="1" applyAlignment="1">
      <alignment vertical="center"/>
    </xf>
    <xf numFmtId="0" fontId="7" fillId="7" borderId="110" xfId="0" applyFont="1" applyFill="1" applyBorder="1" applyAlignment="1">
      <alignment vertical="center"/>
    </xf>
    <xf numFmtId="0" fontId="21" fillId="0" borderId="0" xfId="0" applyFont="1" applyFill="1" applyBorder="1" applyAlignment="1">
      <alignment vertical="center"/>
    </xf>
    <xf numFmtId="0" fontId="7" fillId="3" borderId="78" xfId="0" applyFont="1" applyFill="1" applyBorder="1" applyAlignment="1">
      <alignment vertical="center"/>
    </xf>
    <xf numFmtId="0" fontId="15" fillId="5" borderId="61" xfId="0" applyNumberFormat="1" applyFont="1" applyFill="1" applyBorder="1" applyAlignment="1">
      <alignment horizontal="center" vertical="center" wrapText="1"/>
    </xf>
    <xf numFmtId="0" fontId="28" fillId="0" borderId="0" xfId="0" applyFont="1" applyFill="1" applyBorder="1" applyAlignment="1">
      <alignment vertical="center"/>
    </xf>
    <xf numFmtId="0" fontId="0" fillId="10" borderId="80" xfId="0" applyNumberFormat="1" applyFill="1" applyBorder="1" applyAlignment="1">
      <alignment vertical="center"/>
    </xf>
    <xf numFmtId="0" fontId="21" fillId="0" borderId="0" xfId="0" applyNumberFormat="1" applyFont="1" applyAlignment="1">
      <alignment vertical="center"/>
    </xf>
    <xf numFmtId="0" fontId="16" fillId="6" borderId="9" xfId="0" applyFont="1" applyFill="1" applyBorder="1" applyAlignment="1">
      <alignment vertical="center"/>
    </xf>
    <xf numFmtId="0" fontId="16" fillId="6" borderId="15" xfId="0" applyFont="1" applyFill="1" applyBorder="1" applyAlignment="1">
      <alignment vertical="center"/>
    </xf>
    <xf numFmtId="0" fontId="0" fillId="0" borderId="109" xfId="0" applyBorder="1" applyAlignment="1">
      <alignment vertical="center"/>
    </xf>
    <xf numFmtId="0" fontId="0" fillId="0" borderId="105" xfId="0" applyBorder="1" applyAlignment="1">
      <alignment vertical="center"/>
    </xf>
    <xf numFmtId="0" fontId="0" fillId="0" borderId="63" xfId="0" applyBorder="1" applyAlignment="1">
      <alignment vertical="center"/>
    </xf>
    <xf numFmtId="0" fontId="0" fillId="10" borderId="40" xfId="0" applyNumberFormat="1" applyFill="1" applyBorder="1" applyAlignment="1">
      <alignment vertical="center"/>
    </xf>
    <xf numFmtId="0" fontId="7" fillId="9" borderId="33" xfId="0" applyFont="1" applyFill="1" applyBorder="1" applyAlignment="1">
      <alignment vertical="center"/>
    </xf>
    <xf numFmtId="0" fontId="7" fillId="9" borderId="51" xfId="0" applyFont="1" applyFill="1" applyBorder="1" applyAlignment="1">
      <alignment vertical="center"/>
    </xf>
    <xf numFmtId="0" fontId="0" fillId="0" borderId="47" xfId="0" applyBorder="1" applyAlignment="1">
      <alignment vertical="center"/>
    </xf>
    <xf numFmtId="0" fontId="0" fillId="0" borderId="28" xfId="0" applyNumberFormat="1" applyBorder="1" applyAlignment="1">
      <alignment vertical="center"/>
    </xf>
    <xf numFmtId="0" fontId="16" fillId="0" borderId="105" xfId="0" applyFont="1" applyBorder="1" applyAlignment="1">
      <alignment vertical="center"/>
    </xf>
    <xf numFmtId="0" fontId="0" fillId="0" borderId="15" xfId="0" applyFill="1" applyBorder="1" applyAlignment="1">
      <alignment vertical="center"/>
    </xf>
    <xf numFmtId="0" fontId="0" fillId="0" borderId="33" xfId="0" applyBorder="1" applyAlignment="1">
      <alignment vertical="center"/>
    </xf>
    <xf numFmtId="0" fontId="0" fillId="8" borderId="0" xfId="0" applyFont="1" applyFill="1" applyBorder="1" applyAlignment="1">
      <alignment vertical="center"/>
    </xf>
    <xf numFmtId="0" fontId="16" fillId="0" borderId="7" xfId="0" applyFont="1" applyFill="1" applyBorder="1" applyAlignment="1">
      <alignment vertical="center"/>
    </xf>
    <xf numFmtId="9" fontId="0" fillId="0" borderId="17" xfId="0" applyNumberFormat="1" applyFont="1" applyFill="1" applyBorder="1" applyAlignment="1">
      <alignment vertical="center"/>
    </xf>
    <xf numFmtId="0" fontId="0" fillId="0" borderId="42" xfId="0" applyFill="1" applyBorder="1" applyAlignment="1">
      <alignment vertical="center"/>
    </xf>
    <xf numFmtId="0" fontId="0" fillId="0" borderId="52" xfId="0" applyFill="1" applyBorder="1" applyAlignment="1">
      <alignment vertical="center"/>
    </xf>
    <xf numFmtId="0" fontId="0" fillId="14" borderId="28" xfId="0" applyFill="1" applyBorder="1" applyAlignment="1">
      <alignment vertical="center"/>
    </xf>
    <xf numFmtId="0" fontId="16" fillId="0" borderId="10" xfId="0" applyFont="1" applyFill="1" applyBorder="1" applyAlignment="1">
      <alignment vertical="center"/>
    </xf>
    <xf numFmtId="0" fontId="0" fillId="0" borderId="11" xfId="0" applyFill="1" applyBorder="1" applyAlignment="1">
      <alignment vertical="center"/>
    </xf>
    <xf numFmtId="0" fontId="16" fillId="0" borderId="13" xfId="0" applyFont="1" applyBorder="1" applyAlignment="1">
      <alignment vertical="center"/>
    </xf>
    <xf numFmtId="0" fontId="21" fillId="0" borderId="66" xfId="0" applyFont="1" applyBorder="1" applyAlignment="1">
      <alignment vertical="center"/>
    </xf>
    <xf numFmtId="9" fontId="21" fillId="0" borderId="69" xfId="0" applyNumberFormat="1" applyFont="1" applyBorder="1" applyAlignment="1">
      <alignment vertical="center"/>
    </xf>
    <xf numFmtId="9" fontId="21" fillId="0" borderId="67" xfId="0" applyNumberFormat="1" applyFont="1" applyBorder="1" applyAlignment="1">
      <alignment vertical="center"/>
    </xf>
    <xf numFmtId="0" fontId="0" fillId="0" borderId="15" xfId="0" applyNumberFormat="1" applyFont="1" applyBorder="1" applyAlignment="1">
      <alignment vertical="center"/>
    </xf>
    <xf numFmtId="0" fontId="0" fillId="0" borderId="64" xfId="0" applyBorder="1" applyAlignment="1">
      <alignment vertical="center"/>
    </xf>
    <xf numFmtId="0" fontId="0" fillId="2" borderId="28" xfId="0" applyFill="1" applyBorder="1" applyAlignment="1">
      <alignment vertical="center"/>
    </xf>
    <xf numFmtId="0" fontId="16" fillId="3" borderId="13" xfId="0" applyFont="1" applyFill="1" applyBorder="1" applyAlignment="1">
      <alignment vertical="center"/>
    </xf>
    <xf numFmtId="0" fontId="0" fillId="0" borderId="5" xfId="0" applyFont="1" applyFill="1" applyBorder="1" applyAlignment="1">
      <alignment vertical="center"/>
    </xf>
    <xf numFmtId="0" fontId="0" fillId="0" borderId="42" xfId="0" applyFont="1" applyFill="1" applyBorder="1" applyAlignment="1">
      <alignment vertical="center"/>
    </xf>
    <xf numFmtId="9" fontId="0" fillId="0" borderId="39" xfId="0" applyNumberFormat="1" applyFont="1" applyFill="1" applyBorder="1" applyAlignment="1">
      <alignment vertical="center"/>
    </xf>
    <xf numFmtId="0" fontId="0" fillId="0" borderId="16" xfId="0" applyFont="1" applyBorder="1" applyAlignment="1">
      <alignment vertical="center"/>
    </xf>
    <xf numFmtId="9" fontId="21" fillId="0" borderId="49" xfId="0" applyNumberFormat="1" applyFont="1" applyBorder="1" applyAlignment="1">
      <alignment vertical="center"/>
    </xf>
    <xf numFmtId="0" fontId="0" fillId="0" borderId="1"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xf>
    <xf numFmtId="0" fontId="0" fillId="0" borderId="36" xfId="0" applyFont="1" applyFill="1" applyBorder="1" applyAlignment="1">
      <alignment vertical="center"/>
    </xf>
    <xf numFmtId="9" fontId="0" fillId="0" borderId="37" xfId="0" applyNumberFormat="1" applyFont="1" applyFill="1" applyBorder="1" applyAlignment="1">
      <alignment vertical="center"/>
    </xf>
    <xf numFmtId="0" fontId="0" fillId="0" borderId="37" xfId="0" applyFont="1" applyFill="1" applyBorder="1" applyAlignment="1">
      <alignment vertical="center"/>
    </xf>
    <xf numFmtId="9" fontId="0" fillId="0" borderId="27" xfId="0" applyNumberFormat="1" applyFont="1" applyFill="1" applyBorder="1" applyAlignment="1">
      <alignment vertical="center"/>
    </xf>
    <xf numFmtId="0" fontId="0" fillId="0" borderId="4" xfId="0" applyNumberFormat="1" applyFont="1" applyFill="1" applyBorder="1" applyAlignment="1">
      <alignment vertical="center"/>
    </xf>
    <xf numFmtId="0" fontId="0" fillId="0" borderId="22" xfId="0" applyFont="1" applyFill="1" applyBorder="1" applyAlignment="1">
      <alignment horizontal="center" vertical="center"/>
    </xf>
    <xf numFmtId="0" fontId="0" fillId="0" borderId="7"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9" fontId="0" fillId="0" borderId="13" xfId="0" applyNumberFormat="1" applyFont="1" applyFill="1" applyBorder="1" applyAlignment="1">
      <alignment horizontal="center" vertical="center"/>
    </xf>
    <xf numFmtId="0" fontId="0" fillId="0" borderId="15" xfId="0" applyNumberFormat="1" applyFont="1" applyFill="1" applyBorder="1" applyAlignment="1">
      <alignment vertical="center"/>
    </xf>
    <xf numFmtId="9" fontId="0" fillId="0" borderId="68" xfId="0" applyNumberFormat="1" applyFont="1" applyFill="1" applyBorder="1" applyAlignment="1">
      <alignment horizontal="center" vertical="center"/>
    </xf>
    <xf numFmtId="9" fontId="0" fillId="0" borderId="0" xfId="0" applyNumberFormat="1" applyFont="1" applyFill="1" applyAlignment="1">
      <alignment vertical="center"/>
    </xf>
    <xf numFmtId="0" fontId="0" fillId="0" borderId="0" xfId="0" applyFont="1" applyFill="1" applyBorder="1" applyAlignment="1">
      <alignment vertical="center"/>
    </xf>
    <xf numFmtId="0" fontId="0" fillId="0" borderId="3" xfId="0" applyFont="1" applyBorder="1" applyAlignment="1">
      <alignment vertical="center"/>
    </xf>
    <xf numFmtId="0" fontId="0" fillId="2" borderId="4" xfId="0" applyFont="1" applyFill="1" applyBorder="1" applyAlignment="1">
      <alignment vertical="center"/>
    </xf>
    <xf numFmtId="9" fontId="0" fillId="0" borderId="15" xfId="0" applyNumberFormat="1" applyFont="1" applyBorder="1" applyAlignment="1">
      <alignment vertical="center"/>
    </xf>
    <xf numFmtId="0" fontId="0" fillId="14" borderId="61" xfId="0" applyFont="1" applyFill="1" applyBorder="1" applyAlignment="1">
      <alignment vertical="center"/>
    </xf>
    <xf numFmtId="0" fontId="0" fillId="8" borderId="33" xfId="0" applyFill="1" applyBorder="1" applyAlignment="1">
      <alignment horizontal="center" vertical="center"/>
    </xf>
    <xf numFmtId="0" fontId="0" fillId="0" borderId="65" xfId="0" applyBorder="1" applyAlignment="1">
      <alignment vertical="center"/>
    </xf>
    <xf numFmtId="0" fontId="0" fillId="0" borderId="111" xfId="0" applyBorder="1" applyAlignment="1">
      <alignment horizontal="center" vertical="center"/>
    </xf>
    <xf numFmtId="10" fontId="0" fillId="0" borderId="112" xfId="0" applyNumberFormat="1" applyBorder="1" applyAlignment="1">
      <alignment vertical="center"/>
    </xf>
    <xf numFmtId="10" fontId="0" fillId="0" borderId="113" xfId="0" applyNumberFormat="1" applyBorder="1" applyAlignment="1">
      <alignment vertical="center"/>
    </xf>
    <xf numFmtId="10" fontId="0" fillId="0" borderId="114" xfId="0" applyNumberFormat="1" applyBorder="1" applyAlignment="1">
      <alignment vertical="center"/>
    </xf>
    <xf numFmtId="10" fontId="0" fillId="0" borderId="115" xfId="0" applyNumberFormat="1" applyBorder="1" applyAlignment="1">
      <alignment horizontal="center" vertical="center"/>
    </xf>
    <xf numFmtId="179" fontId="0" fillId="0" borderId="112" xfId="0" applyNumberFormat="1" applyFill="1" applyBorder="1" applyAlignment="1">
      <alignment vertical="center"/>
    </xf>
    <xf numFmtId="179" fontId="0" fillId="0" borderId="113" xfId="0" applyNumberFormat="1" applyFill="1" applyBorder="1" applyAlignment="1">
      <alignment vertical="center"/>
    </xf>
    <xf numFmtId="179" fontId="0" fillId="0" borderId="116" xfId="0" applyNumberFormat="1" applyFill="1" applyBorder="1" applyAlignment="1">
      <alignment vertical="center"/>
    </xf>
    <xf numFmtId="179" fontId="0" fillId="0" borderId="117" xfId="0" applyNumberFormat="1" applyFill="1" applyBorder="1" applyAlignment="1">
      <alignment vertical="center"/>
    </xf>
    <xf numFmtId="179" fontId="0" fillId="0" borderId="114" xfId="0" applyNumberFormat="1" applyFill="1" applyBorder="1" applyAlignment="1">
      <alignment vertical="center"/>
    </xf>
    <xf numFmtId="0" fontId="0" fillId="0" borderId="10" xfId="0" applyBorder="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lignment vertical="center" shrinkToFit="1"/>
    </xf>
    <xf numFmtId="0" fontId="7" fillId="0" borderId="64" xfId="0" applyFont="1" applyBorder="1" applyAlignment="1">
      <alignment vertical="center"/>
    </xf>
    <xf numFmtId="0" fontId="0" fillId="0" borderId="118" xfId="0" applyBorder="1" applyAlignment="1">
      <alignment vertical="center"/>
    </xf>
    <xf numFmtId="0" fontId="0" fillId="0" borderId="119" xfId="0" applyBorder="1" applyAlignment="1">
      <alignment vertical="center"/>
    </xf>
    <xf numFmtId="0" fontId="0" fillId="0" borderId="120" xfId="0" applyBorder="1" applyAlignment="1">
      <alignment vertical="center"/>
    </xf>
    <xf numFmtId="0" fontId="0" fillId="0" borderId="121" xfId="0" applyBorder="1" applyAlignment="1">
      <alignment vertical="center"/>
    </xf>
    <xf numFmtId="0" fontId="0" fillId="0" borderId="122" xfId="0" applyBorder="1" applyAlignment="1">
      <alignment vertical="center"/>
    </xf>
    <xf numFmtId="0" fontId="0" fillId="0" borderId="123" xfId="0" applyBorder="1" applyAlignment="1">
      <alignment vertical="center"/>
    </xf>
    <xf numFmtId="0" fontId="0" fillId="0" borderId="124" xfId="0" applyBorder="1" applyAlignment="1">
      <alignment vertical="center"/>
    </xf>
    <xf numFmtId="0" fontId="0" fillId="0" borderId="125" xfId="0" applyBorder="1" applyAlignment="1">
      <alignment vertical="center"/>
    </xf>
    <xf numFmtId="0" fontId="7" fillId="0" borderId="52" xfId="0" applyFont="1" applyBorder="1" applyAlignment="1">
      <alignment vertical="center"/>
    </xf>
    <xf numFmtId="0" fontId="0" fillId="4" borderId="8" xfId="0" applyNumberFormat="1" applyFont="1" applyFill="1" applyBorder="1" applyAlignment="1">
      <alignment horizontal="right" vertical="center"/>
    </xf>
    <xf numFmtId="0" fontId="0" fillId="0" borderId="8" xfId="0" applyNumberFormat="1" applyFont="1" applyBorder="1" applyAlignment="1">
      <alignment vertical="center"/>
    </xf>
    <xf numFmtId="0" fontId="0" fillId="4" borderId="8" xfId="0" applyNumberFormat="1" applyFont="1" applyFill="1" applyBorder="1" applyAlignment="1">
      <alignment vertical="center"/>
    </xf>
    <xf numFmtId="0" fontId="0" fillId="0" borderId="14" xfId="0" applyNumberFormat="1" applyFont="1" applyBorder="1" applyAlignment="1">
      <alignment vertical="center"/>
    </xf>
    <xf numFmtId="0" fontId="0" fillId="0" borderId="14" xfId="0" applyNumberFormat="1" applyFont="1" applyFill="1" applyBorder="1" applyAlignment="1">
      <alignment vertical="center"/>
    </xf>
    <xf numFmtId="0" fontId="0" fillId="0" borderId="11" xfId="0" applyNumberFormat="1" applyFont="1" applyBorder="1" applyAlignment="1">
      <alignment vertical="center"/>
    </xf>
    <xf numFmtId="0" fontId="0" fillId="0" borderId="3" xfId="0" applyNumberFormat="1" applyFont="1" applyBorder="1" applyAlignment="1">
      <alignment vertical="center"/>
    </xf>
    <xf numFmtId="0" fontId="0" fillId="0" borderId="3" xfId="0" applyNumberFormat="1" applyFont="1" applyFill="1" applyBorder="1" applyAlignment="1">
      <alignment vertical="center"/>
    </xf>
    <xf numFmtId="0" fontId="0" fillId="4" borderId="3" xfId="0" applyNumberFormat="1" applyFont="1" applyFill="1" applyBorder="1" applyAlignment="1">
      <alignment vertical="center"/>
    </xf>
    <xf numFmtId="0" fontId="0" fillId="4" borderId="3" xfId="0" applyNumberFormat="1" applyFont="1" applyFill="1" applyBorder="1" applyAlignment="1">
      <alignment horizontal="right" vertical="center"/>
    </xf>
    <xf numFmtId="0" fontId="0" fillId="4" borderId="14" xfId="0" applyNumberFormat="1" applyFont="1" applyFill="1" applyBorder="1" applyAlignment="1">
      <alignment horizontal="right" vertical="center"/>
    </xf>
    <xf numFmtId="0" fontId="0" fillId="0" borderId="19" xfId="0" applyNumberFormat="1" applyFont="1" applyFill="1" applyBorder="1" applyAlignment="1">
      <alignment vertical="center"/>
    </xf>
    <xf numFmtId="0" fontId="0" fillId="10" borderId="40" xfId="0" applyNumberFormat="1" applyFont="1" applyFill="1" applyBorder="1" applyAlignment="1">
      <alignment vertical="center"/>
    </xf>
    <xf numFmtId="0" fontId="0" fillId="0" borderId="32" xfId="0" applyNumberFormat="1" applyFont="1" applyFill="1" applyBorder="1" applyAlignment="1">
      <alignment vertical="center"/>
    </xf>
    <xf numFmtId="0" fontId="0" fillId="4" borderId="42" xfId="0" applyNumberFormat="1" applyFont="1" applyFill="1" applyBorder="1" applyAlignment="1">
      <alignment vertical="center"/>
    </xf>
    <xf numFmtId="0" fontId="0" fillId="8" borderId="52" xfId="0" applyFill="1" applyBorder="1" applyAlignment="1">
      <alignment horizontal="right" vertical="center"/>
    </xf>
    <xf numFmtId="0" fontId="0" fillId="8" borderId="64" xfId="0" applyFont="1" applyFill="1" applyBorder="1" applyAlignment="1">
      <alignment vertical="center"/>
    </xf>
    <xf numFmtId="179" fontId="0" fillId="0" borderId="0" xfId="0" applyNumberFormat="1" applyFont="1" applyBorder="1" applyAlignment="1">
      <alignment vertical="center"/>
    </xf>
    <xf numFmtId="10" fontId="0" fillId="0" borderId="41" xfId="0" applyNumberFormat="1" applyFont="1" applyBorder="1" applyAlignment="1">
      <alignment vertical="center"/>
    </xf>
    <xf numFmtId="0" fontId="0" fillId="4" borderId="11" xfId="0" applyNumberFormat="1" applyFont="1" applyFill="1" applyBorder="1" applyAlignment="1">
      <alignment horizontal="right" vertical="center"/>
    </xf>
    <xf numFmtId="9" fontId="0" fillId="0" borderId="28" xfId="0" applyNumberFormat="1" applyFont="1" applyBorder="1" applyAlignment="1">
      <alignment vertical="center"/>
    </xf>
    <xf numFmtId="0" fontId="0" fillId="0" borderId="42" xfId="0" applyNumberFormat="1" applyFont="1" applyBorder="1" applyAlignment="1">
      <alignment vertical="center"/>
    </xf>
    <xf numFmtId="0" fontId="0" fillId="0" borderId="42" xfId="0" applyNumberFormat="1" applyFont="1" applyFill="1" applyBorder="1" applyAlignment="1">
      <alignment vertical="center"/>
    </xf>
    <xf numFmtId="0" fontId="0" fillId="4" borderId="42" xfId="0" applyNumberFormat="1" applyFont="1" applyFill="1" applyBorder="1" applyAlignment="1">
      <alignment horizontal="right" vertical="center"/>
    </xf>
    <xf numFmtId="10" fontId="0" fillId="0" borderId="61" xfId="0" applyNumberFormat="1" applyFont="1" applyBorder="1" applyAlignment="1">
      <alignment vertical="center"/>
    </xf>
    <xf numFmtId="0" fontId="0" fillId="4" borderId="14" xfId="0" applyNumberFormat="1" applyFont="1" applyFill="1" applyBorder="1" applyAlignment="1">
      <alignment vertical="center"/>
    </xf>
    <xf numFmtId="9" fontId="0" fillId="0" borderId="4" xfId="0" applyNumberFormat="1" applyFont="1" applyFill="1" applyBorder="1" applyAlignment="1">
      <alignment vertical="center"/>
    </xf>
    <xf numFmtId="0" fontId="0" fillId="0" borderId="13" xfId="0" applyFont="1" applyFill="1" applyBorder="1" applyAlignment="1">
      <alignment vertical="center"/>
    </xf>
    <xf numFmtId="0" fontId="0" fillId="0" borderId="15" xfId="0" applyFont="1" applyFill="1" applyBorder="1" applyAlignment="1">
      <alignment vertical="center"/>
    </xf>
    <xf numFmtId="0" fontId="0" fillId="0" borderId="12" xfId="0" applyNumberFormat="1" applyFill="1" applyBorder="1" applyAlignment="1">
      <alignment vertical="center"/>
    </xf>
    <xf numFmtId="0" fontId="21" fillId="0" borderId="15" xfId="0" applyFont="1" applyBorder="1" applyAlignment="1">
      <alignment vertical="center"/>
    </xf>
    <xf numFmtId="10" fontId="21" fillId="0" borderId="0" xfId="0" applyNumberFormat="1" applyFont="1" applyAlignment="1">
      <alignment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21" fillId="0" borderId="0" xfId="0" applyNumberFormat="1" applyFont="1" applyBorder="1" applyAlignment="1">
      <alignment horizontal="center" vertical="center"/>
    </xf>
    <xf numFmtId="0" fontId="21" fillId="0" borderId="0" xfId="0" applyNumberFormat="1" applyFont="1" applyBorder="1" applyAlignment="1">
      <alignment vertical="center"/>
    </xf>
    <xf numFmtId="10" fontId="21" fillId="0" borderId="0" xfId="0" applyNumberFormat="1" applyFont="1" applyBorder="1" applyAlignment="1">
      <alignment vertical="center"/>
    </xf>
    <xf numFmtId="9" fontId="21" fillId="0" borderId="0" xfId="0" applyNumberFormat="1" applyFont="1" applyFill="1" applyBorder="1" applyAlignment="1">
      <alignment vertical="center"/>
    </xf>
    <xf numFmtId="0" fontId="21" fillId="0" borderId="0" xfId="0" applyNumberFormat="1" applyFont="1" applyFill="1" applyBorder="1" applyAlignment="1">
      <alignment vertical="center"/>
    </xf>
    <xf numFmtId="9" fontId="21" fillId="0" borderId="0" xfId="0" applyNumberFormat="1" applyFont="1" applyBorder="1" applyAlignment="1">
      <alignment vertical="center"/>
    </xf>
    <xf numFmtId="179" fontId="21" fillId="0" borderId="0" xfId="0" applyNumberFormat="1" applyFont="1" applyFill="1" applyBorder="1" applyAlignment="1">
      <alignment vertical="center"/>
    </xf>
    <xf numFmtId="0" fontId="0" fillId="14" borderId="0" xfId="0" applyFill="1" applyBorder="1" applyAlignment="1">
      <alignment vertical="center"/>
    </xf>
    <xf numFmtId="0" fontId="0" fillId="0" borderId="126" xfId="0" applyBorder="1" applyAlignment="1">
      <alignment vertical="center"/>
    </xf>
    <xf numFmtId="0" fontId="0" fillId="0" borderId="127" xfId="0" applyBorder="1" applyAlignment="1">
      <alignment vertical="center"/>
    </xf>
    <xf numFmtId="0" fontId="0" fillId="0" borderId="128" xfId="0" applyBorder="1" applyAlignment="1">
      <alignment vertical="center"/>
    </xf>
    <xf numFmtId="0" fontId="0" fillId="0" borderId="129" xfId="0" applyBorder="1" applyAlignment="1">
      <alignment vertical="center"/>
    </xf>
    <xf numFmtId="0" fontId="0" fillId="0" borderId="54" xfId="0" applyBorder="1" applyAlignment="1">
      <alignment vertical="center"/>
    </xf>
    <xf numFmtId="0" fontId="0" fillId="14" borderId="2" xfId="0" applyFill="1" applyBorder="1" applyAlignment="1">
      <alignment vertical="center"/>
    </xf>
    <xf numFmtId="0" fontId="0" fillId="14" borderId="40" xfId="0" applyFill="1" applyBorder="1" applyAlignment="1">
      <alignment vertical="center"/>
    </xf>
    <xf numFmtId="0" fontId="0" fillId="14" borderId="32" xfId="0" applyFill="1" applyBorder="1" applyAlignment="1">
      <alignment vertical="center"/>
    </xf>
    <xf numFmtId="0" fontId="6" fillId="0" borderId="5" xfId="0" applyFont="1" applyFill="1" applyBorder="1" applyAlignment="1">
      <alignment vertical="center"/>
    </xf>
    <xf numFmtId="0" fontId="1" fillId="0" borderId="102" xfId="0" applyFont="1" applyFill="1" applyBorder="1" applyAlignment="1">
      <alignment vertical="center"/>
    </xf>
    <xf numFmtId="0" fontId="0" fillId="8" borderId="10" xfId="0" applyFill="1" applyBorder="1" applyAlignment="1">
      <alignment horizontal="center" vertical="center"/>
    </xf>
    <xf numFmtId="0" fontId="16" fillId="4" borderId="1" xfId="0" applyFont="1" applyFill="1" applyBorder="1" applyAlignment="1">
      <alignment horizontal="center" vertical="center"/>
    </xf>
    <xf numFmtId="0" fontId="0" fillId="10" borderId="47" xfId="0" applyFill="1" applyBorder="1" applyAlignment="1">
      <alignment horizontal="center" vertical="center"/>
    </xf>
    <xf numFmtId="0" fontId="7" fillId="5" borderId="52" xfId="0" applyFont="1" applyFill="1" applyBorder="1" applyAlignment="1">
      <alignment horizontal="center" vertical="center"/>
    </xf>
    <xf numFmtId="0" fontId="7" fillId="5" borderId="64" xfId="0" applyFont="1" applyFill="1" applyBorder="1" applyAlignment="1">
      <alignment horizontal="center" vertical="center"/>
    </xf>
    <xf numFmtId="0" fontId="7" fillId="5" borderId="82" xfId="0" applyFont="1" applyFill="1" applyBorder="1" applyAlignment="1">
      <alignment horizontal="center" vertical="center"/>
    </xf>
    <xf numFmtId="0" fontId="0" fillId="10" borderId="51" xfId="0" applyFill="1" applyBorder="1" applyAlignment="1">
      <alignment horizontal="center" vertical="center"/>
    </xf>
    <xf numFmtId="0" fontId="0" fillId="8" borderId="1" xfId="0" applyFill="1" applyBorder="1" applyAlignment="1">
      <alignment horizontal="center" vertical="center"/>
    </xf>
    <xf numFmtId="0" fontId="0" fillId="8" borderId="7" xfId="0" applyFill="1" applyBorder="1" applyAlignment="1">
      <alignment horizontal="center" vertical="center"/>
    </xf>
    <xf numFmtId="0" fontId="0" fillId="8" borderId="13" xfId="0" applyFill="1" applyBorder="1" applyAlignment="1">
      <alignment horizontal="center" vertical="center"/>
    </xf>
    <xf numFmtId="0" fontId="0" fillId="10" borderId="105" xfId="0" applyFill="1" applyBorder="1" applyAlignment="1">
      <alignment horizontal="center" vertical="center"/>
    </xf>
    <xf numFmtId="0" fontId="0" fillId="10" borderId="33" xfId="0" applyFill="1" applyBorder="1" applyAlignment="1">
      <alignment horizontal="center" vertical="center"/>
    </xf>
    <xf numFmtId="0" fontId="0" fillId="10" borderId="50" xfId="0" applyFill="1" applyBorder="1" applyAlignment="1">
      <alignment horizontal="center" vertical="center"/>
    </xf>
    <xf numFmtId="0" fontId="0" fillId="5" borderId="82" xfId="0" applyFill="1"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4" fillId="0" borderId="0" xfId="0" applyFont="1" applyBorder="1" applyAlignment="1">
      <alignment horizontal="center" vertical="center"/>
    </xf>
    <xf numFmtId="0" fontId="0" fillId="5" borderId="52" xfId="0" applyFill="1" applyBorder="1" applyAlignment="1">
      <alignment horizontal="center" vertical="center"/>
    </xf>
    <xf numFmtId="0" fontId="0" fillId="5" borderId="64" xfId="0" applyFill="1" applyBorder="1" applyAlignment="1">
      <alignment horizontal="center" vertical="center"/>
    </xf>
    <xf numFmtId="0" fontId="0" fillId="12" borderId="14" xfId="0" applyFont="1" applyFill="1" applyBorder="1" applyAlignment="1">
      <alignment horizontal="center" vertical="center"/>
    </xf>
    <xf numFmtId="0" fontId="0" fillId="12" borderId="7" xfId="0" applyFill="1" applyBorder="1" applyAlignment="1">
      <alignment horizontal="center" vertical="center"/>
    </xf>
    <xf numFmtId="0" fontId="0" fillId="12" borderId="8" xfId="0" applyFill="1" applyBorder="1" applyAlignment="1">
      <alignment horizontal="center" vertical="center"/>
    </xf>
    <xf numFmtId="0" fontId="0" fillId="12" borderId="28" xfId="0" applyFont="1" applyFill="1" applyBorder="1" applyAlignment="1">
      <alignment horizontal="center" vertical="center"/>
    </xf>
    <xf numFmtId="0" fontId="0" fillId="6" borderId="7" xfId="0" applyFill="1" applyBorder="1" applyAlignment="1">
      <alignment horizontal="left" vertical="center"/>
    </xf>
    <xf numFmtId="0" fontId="0" fillId="6" borderId="8" xfId="0" applyFill="1" applyBorder="1" applyAlignment="1">
      <alignment horizontal="left" vertical="center"/>
    </xf>
    <xf numFmtId="0" fontId="0" fillId="0" borderId="5" xfId="0" applyBorder="1" applyAlignment="1">
      <alignment horizontal="center" vertical="center"/>
    </xf>
    <xf numFmtId="0" fontId="0" fillId="0" borderId="102" xfId="0" applyBorder="1" applyAlignment="1">
      <alignment horizontal="center" vertical="center"/>
    </xf>
    <xf numFmtId="0" fontId="0" fillId="0" borderId="39" xfId="0" applyBorder="1" applyAlignment="1">
      <alignment horizontal="center" vertical="center"/>
    </xf>
    <xf numFmtId="0" fontId="0" fillId="12" borderId="13" xfId="0" applyFont="1" applyFill="1" applyBorder="1" applyAlignment="1">
      <alignment horizontal="center" vertical="center"/>
    </xf>
    <xf numFmtId="0" fontId="0" fillId="12" borderId="16" xfId="0" applyFont="1" applyFill="1" applyBorder="1" applyAlignment="1">
      <alignment horizontal="center" vertical="center"/>
    </xf>
    <xf numFmtId="0" fontId="0" fillId="12" borderId="18" xfId="0" applyFont="1" applyFill="1" applyBorder="1" applyAlignment="1">
      <alignment horizontal="center" vertical="center"/>
    </xf>
    <xf numFmtId="10" fontId="7" fillId="4" borderId="82" xfId="0" applyNumberFormat="1" applyFont="1" applyFill="1" applyBorder="1" applyAlignment="1">
      <alignment horizontal="center" vertical="center"/>
    </xf>
    <xf numFmtId="0" fontId="0" fillId="6" borderId="7" xfId="0" applyFill="1" applyBorder="1" applyAlignment="1">
      <alignment vertical="center"/>
    </xf>
    <xf numFmtId="0" fontId="0" fillId="6" borderId="8" xfId="0" applyFill="1" applyBorder="1" applyAlignment="1">
      <alignment vertical="center"/>
    </xf>
    <xf numFmtId="0" fontId="0" fillId="6" borderId="13" xfId="0" applyFill="1" applyBorder="1" applyAlignment="1">
      <alignment horizontal="left" vertical="center"/>
    </xf>
    <xf numFmtId="0" fontId="0" fillId="6" borderId="14" xfId="0" applyFill="1" applyBorder="1" applyAlignment="1">
      <alignment horizontal="left" vertical="center"/>
    </xf>
    <xf numFmtId="0" fontId="8" fillId="0" borderId="9" xfId="0" applyFont="1" applyBorder="1" applyAlignment="1">
      <alignment horizontal="left" vertical="center"/>
    </xf>
    <xf numFmtId="10" fontId="7" fillId="4" borderId="52" xfId="0" applyNumberFormat="1" applyFont="1" applyFill="1" applyBorder="1" applyAlignment="1">
      <alignment horizontal="center" vertical="center"/>
    </xf>
    <xf numFmtId="10" fontId="7" fillId="4" borderId="64" xfId="0" applyNumberFormat="1" applyFont="1" applyFill="1" applyBorder="1" applyAlignment="1">
      <alignment horizontal="center" vertical="center"/>
    </xf>
    <xf numFmtId="0" fontId="8" fillId="0" borderId="8" xfId="0" applyFont="1" applyBorder="1" applyAlignment="1">
      <alignment horizontal="left" vertical="center"/>
    </xf>
    <xf numFmtId="0" fontId="8" fillId="0" borderId="40" xfId="0" applyFont="1" applyBorder="1" applyAlignment="1">
      <alignment horizontal="left" vertical="center"/>
    </xf>
    <xf numFmtId="0" fontId="8" fillId="0" borderId="31" xfId="0" applyFont="1" applyBorder="1" applyAlignment="1">
      <alignment horizontal="left" vertical="center"/>
    </xf>
    <xf numFmtId="0" fontId="8" fillId="0" borderId="4" xfId="0" applyFont="1" applyBorder="1" applyAlignment="1">
      <alignment horizontal="left" vertical="center"/>
    </xf>
    <xf numFmtId="0" fontId="8" fillId="0" borderId="7" xfId="0" applyFont="1" applyBorder="1" applyAlignment="1">
      <alignment horizontal="left" vertical="center"/>
    </xf>
    <xf numFmtId="0" fontId="8" fillId="0" borderId="1" xfId="0" applyFont="1" applyBorder="1" applyAlignment="1">
      <alignment horizontal="left" vertical="center"/>
    </xf>
    <xf numFmtId="0" fontId="8" fillId="0" borderId="22" xfId="0" applyFont="1" applyBorder="1" applyAlignment="1">
      <alignment horizontal="left" vertical="center"/>
    </xf>
    <xf numFmtId="0" fontId="8" fillId="0" borderId="3" xfId="0" applyFont="1" applyBorder="1" applyAlignment="1">
      <alignment horizontal="left" vertical="center"/>
    </xf>
    <xf numFmtId="0" fontId="8" fillId="0" borderId="2" xfId="0" applyFont="1" applyBorder="1" applyAlignment="1">
      <alignment horizontal="left" vertical="center"/>
    </xf>
    <xf numFmtId="0" fontId="8" fillId="0" borderId="15" xfId="0" applyFont="1" applyBorder="1" applyAlignment="1">
      <alignment horizontal="left" vertical="center"/>
    </xf>
    <xf numFmtId="0" fontId="0" fillId="0" borderId="66" xfId="0" applyBorder="1" applyAlignment="1">
      <alignment horizontal="center" vertical="center"/>
    </xf>
    <xf numFmtId="0" fontId="0" fillId="0" borderId="69" xfId="0" applyBorder="1" applyAlignment="1">
      <alignment horizontal="center" vertical="center"/>
    </xf>
    <xf numFmtId="0" fontId="0" fillId="0" borderId="67" xfId="0" applyBorder="1" applyAlignment="1">
      <alignment horizontal="center" vertical="center"/>
    </xf>
    <xf numFmtId="0" fontId="8" fillId="0" borderId="32" xfId="0" applyFont="1" applyBorder="1" applyAlignment="1">
      <alignment horizontal="left" vertical="center"/>
    </xf>
    <xf numFmtId="178" fontId="0" fillId="10" borderId="64" xfId="0" applyNumberFormat="1" applyFill="1" applyBorder="1" applyAlignment="1">
      <alignment horizontal="center" vertical="center"/>
    </xf>
    <xf numFmtId="178" fontId="0" fillId="10" borderId="82" xfId="0" applyNumberFormat="1" applyFill="1" applyBorder="1" applyAlignment="1">
      <alignment horizontal="center" vertical="center"/>
    </xf>
    <xf numFmtId="0" fontId="8" fillId="0" borderId="13" xfId="0" applyFont="1" applyBorder="1" applyAlignment="1">
      <alignment horizontal="left" vertical="center"/>
    </xf>
    <xf numFmtId="0" fontId="8" fillId="0" borderId="68" xfId="0" applyFont="1" applyBorder="1" applyAlignment="1">
      <alignment horizontal="left" vertical="center"/>
    </xf>
    <xf numFmtId="0" fontId="8" fillId="0" borderId="14" xfId="0" applyFont="1" applyBorder="1" applyAlignment="1">
      <alignment horizontal="left" vertical="center"/>
    </xf>
    <xf numFmtId="9" fontId="0" fillId="2" borderId="60" xfId="0" applyNumberFormat="1" applyFill="1" applyBorder="1" applyAlignment="1">
      <alignment vertical="center"/>
    </xf>
    <xf numFmtId="0" fontId="16" fillId="4" borderId="130" xfId="0" applyFont="1" applyFill="1" applyBorder="1" applyAlignment="1">
      <alignment horizontal="center" vertical="center" wrapText="1"/>
    </xf>
    <xf numFmtId="0" fontId="16" fillId="4" borderId="81" xfId="0" applyFont="1" applyFill="1" applyBorder="1" applyAlignment="1">
      <alignment horizontal="center" vertical="center" wrapText="1"/>
    </xf>
    <xf numFmtId="178" fontId="0" fillId="10" borderId="52" xfId="0" applyNumberFormat="1" applyFill="1" applyBorder="1" applyAlignment="1">
      <alignment horizontal="center" vertical="center"/>
    </xf>
    <xf numFmtId="0" fontId="0" fillId="0" borderId="18" xfId="0" applyBorder="1" applyAlignment="1">
      <alignment horizontal="center" vertical="center"/>
    </xf>
    <xf numFmtId="0" fontId="0" fillId="0" borderId="28" xfId="0" applyBorder="1" applyAlignment="1">
      <alignment horizontal="center" vertical="center"/>
    </xf>
    <xf numFmtId="0" fontId="0" fillId="10" borderId="131" xfId="0" applyFill="1" applyBorder="1" applyAlignment="1">
      <alignment horizontal="center" vertical="center"/>
    </xf>
    <xf numFmtId="0" fontId="0" fillId="10" borderId="45" xfId="0" applyFill="1" applyBorder="1" applyAlignment="1">
      <alignment horizontal="center" vertical="center"/>
    </xf>
    <xf numFmtId="9" fontId="0" fillId="2" borderId="109" xfId="0" applyNumberFormat="1" applyFill="1" applyBorder="1" applyAlignment="1">
      <alignment vertical="center"/>
    </xf>
    <xf numFmtId="0" fontId="0" fillId="3" borderId="52" xfId="0" applyFill="1" applyBorder="1" applyAlignment="1">
      <alignment horizontal="center" vertical="center"/>
    </xf>
    <xf numFmtId="0" fontId="0" fillId="3" borderId="64" xfId="0" applyFill="1" applyBorder="1" applyAlignment="1">
      <alignment horizontal="center" vertical="center"/>
    </xf>
    <xf numFmtId="0" fontId="0" fillId="3" borderId="82" xfId="0" applyFill="1" applyBorder="1" applyAlignment="1">
      <alignment horizontal="center" vertical="center"/>
    </xf>
    <xf numFmtId="0" fontId="7" fillId="4" borderId="52" xfId="0" applyFont="1" applyFill="1" applyBorder="1" applyAlignment="1">
      <alignment horizontal="right" vertical="center"/>
    </xf>
    <xf numFmtId="0" fontId="7" fillId="4" borderId="64" xfId="0" applyFont="1" applyFill="1" applyBorder="1" applyAlignment="1">
      <alignment horizontal="right" vertical="center"/>
    </xf>
    <xf numFmtId="0" fontId="7" fillId="4" borderId="82" xfId="0" applyFont="1" applyFill="1" applyBorder="1" applyAlignment="1">
      <alignment horizontal="right" vertical="center"/>
    </xf>
    <xf numFmtId="0" fontId="7" fillId="4" borderId="66" xfId="0" applyFont="1" applyFill="1" applyBorder="1" applyAlignment="1">
      <alignment horizontal="center" vertical="center"/>
    </xf>
    <xf numFmtId="0" fontId="7" fillId="4" borderId="69" xfId="0" applyFont="1" applyFill="1" applyBorder="1" applyAlignment="1">
      <alignment horizontal="center" vertical="center"/>
    </xf>
    <xf numFmtId="0" fontId="0" fillId="6" borderId="1" xfId="0" applyFont="1" applyFill="1" applyBorder="1" applyAlignment="1">
      <alignment horizontal="left" vertical="center"/>
    </xf>
    <xf numFmtId="0" fontId="0" fillId="6" borderId="3" xfId="0" applyFont="1" applyFill="1" applyBorder="1" applyAlignment="1">
      <alignment horizontal="lef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3" borderId="64" xfId="0" applyFont="1" applyFill="1" applyBorder="1" applyAlignment="1">
      <alignment horizontal="center" vertical="center"/>
    </xf>
    <xf numFmtId="0" fontId="0" fillId="3" borderId="82" xfId="0" applyFont="1" applyFill="1" applyBorder="1" applyAlignment="1">
      <alignment horizontal="center" vertical="center"/>
    </xf>
    <xf numFmtId="0" fontId="0" fillId="0" borderId="109" xfId="0" applyBorder="1" applyAlignment="1">
      <alignment horizontal="right" vertical="center"/>
    </xf>
    <xf numFmtId="0" fontId="0" fillId="0" borderId="94" xfId="0" applyBorder="1" applyAlignment="1">
      <alignment horizontal="right" vertical="center"/>
    </xf>
    <xf numFmtId="0" fontId="0" fillId="0" borderId="60" xfId="0" applyBorder="1" applyAlignment="1">
      <alignment horizontal="right" vertical="center"/>
    </xf>
    <xf numFmtId="0" fontId="0" fillId="15" borderId="66" xfId="0" applyFont="1" applyFill="1" applyBorder="1" applyAlignment="1">
      <alignment horizontal="center" vertical="center"/>
    </xf>
    <xf numFmtId="0" fontId="0" fillId="15" borderId="69" xfId="0" applyFont="1" applyFill="1" applyBorder="1" applyAlignment="1">
      <alignment horizontal="center" vertical="center"/>
    </xf>
    <xf numFmtId="0" fontId="0" fillId="0" borderId="109" xfId="0" applyFont="1" applyBorder="1" applyAlignment="1">
      <alignment horizontal="center" vertical="center"/>
    </xf>
    <xf numFmtId="0" fontId="0" fillId="0" borderId="68" xfId="0" applyFont="1" applyBorder="1" applyAlignment="1">
      <alignment horizontal="center" vertical="center"/>
    </xf>
    <xf numFmtId="0" fontId="27" fillId="5" borderId="52" xfId="0" applyFont="1" applyFill="1" applyBorder="1" applyAlignment="1">
      <alignment horizontal="center" vertical="center"/>
    </xf>
    <xf numFmtId="0" fontId="27" fillId="5" borderId="64" xfId="0" applyFont="1" applyFill="1" applyBorder="1" applyAlignment="1">
      <alignment horizontal="center" vertical="center"/>
    </xf>
    <xf numFmtId="0" fontId="27" fillId="5" borderId="82" xfId="0" applyFont="1" applyFill="1" applyBorder="1" applyAlignment="1">
      <alignment horizontal="center" vertical="center"/>
    </xf>
    <xf numFmtId="0" fontId="0" fillId="10" borderId="52" xfId="0" applyFill="1" applyBorder="1" applyAlignment="1">
      <alignment horizontal="center" vertical="center"/>
    </xf>
    <xf numFmtId="0" fontId="0" fillId="10" borderId="64" xfId="0" applyFill="1" applyBorder="1" applyAlignment="1">
      <alignment horizontal="center" vertical="center"/>
    </xf>
    <xf numFmtId="0" fontId="0" fillId="10" borderId="82" xfId="0" applyFill="1" applyBorder="1" applyAlignment="1">
      <alignment horizontal="center" vertical="center"/>
    </xf>
    <xf numFmtId="0" fontId="0" fillId="0" borderId="16" xfId="0" applyBorder="1" applyAlignment="1">
      <alignment horizontal="center" vertical="center"/>
    </xf>
    <xf numFmtId="0" fontId="16" fillId="4" borderId="7" xfId="0" applyFont="1" applyFill="1" applyBorder="1" applyAlignment="1">
      <alignment horizontal="center" vertical="center"/>
    </xf>
    <xf numFmtId="0" fontId="16" fillId="4" borderId="13" xfId="0" applyFont="1" applyFill="1" applyBorder="1" applyAlignment="1">
      <alignment horizontal="center" vertical="center"/>
    </xf>
    <xf numFmtId="0" fontId="0" fillId="0" borderId="109" xfId="0" applyBorder="1" applyAlignment="1">
      <alignment vertical="center"/>
    </xf>
    <xf numFmtId="0" fontId="0" fillId="0" borderId="68" xfId="0" applyBorder="1" applyAlignment="1">
      <alignment vertical="center"/>
    </xf>
    <xf numFmtId="0" fontId="0" fillId="2" borderId="12" xfId="0" applyFill="1" applyBorder="1" applyAlignment="1">
      <alignment vertical="center"/>
    </xf>
    <xf numFmtId="0" fontId="0" fillId="2" borderId="9" xfId="0" applyFill="1" applyBorder="1" applyAlignment="1">
      <alignment vertical="center"/>
    </xf>
    <xf numFmtId="0" fontId="0" fillId="13" borderId="16" xfId="0" applyFill="1" applyBorder="1" applyAlignment="1">
      <alignment horizontal="center" vertical="center"/>
    </xf>
    <xf numFmtId="0" fontId="0" fillId="13" borderId="64" xfId="0" applyFill="1" applyBorder="1" applyAlignment="1">
      <alignment horizontal="center" vertical="center"/>
    </xf>
    <xf numFmtId="0" fontId="0" fillId="13" borderId="28" xfId="0" applyFill="1" applyBorder="1" applyAlignment="1">
      <alignment horizontal="center" vertical="center"/>
    </xf>
    <xf numFmtId="0" fontId="0" fillId="0" borderId="105" xfId="0" applyBorder="1" applyAlignment="1">
      <alignment horizontal="center" vertical="center"/>
    </xf>
    <xf numFmtId="0" fontId="0" fillId="0" borderId="101" xfId="0" applyBorder="1" applyAlignment="1">
      <alignment horizontal="center" vertical="center"/>
    </xf>
    <xf numFmtId="0" fontId="0" fillId="0" borderId="47" xfId="0" applyBorder="1" applyAlignment="1">
      <alignment horizontal="center" vertical="center"/>
    </xf>
    <xf numFmtId="0" fontId="0" fillId="0" borderId="131" xfId="0" applyBorder="1" applyAlignment="1">
      <alignment vertical="center"/>
    </xf>
    <xf numFmtId="0" fontId="0" fillId="0" borderId="29" xfId="0" applyBorder="1" applyAlignment="1">
      <alignment vertical="center"/>
    </xf>
    <xf numFmtId="0" fontId="0" fillId="12" borderId="10" xfId="0" applyFont="1" applyFill="1" applyBorder="1" applyAlignment="1">
      <alignment horizontal="center" vertical="center"/>
    </xf>
    <xf numFmtId="0" fontId="0" fillId="12" borderId="11" xfId="0" applyFont="1" applyFill="1" applyBorder="1" applyAlignment="1">
      <alignment horizontal="center" vertical="center"/>
    </xf>
    <xf numFmtId="0" fontId="0" fillId="10" borderId="10" xfId="0" applyFill="1" applyBorder="1" applyAlignment="1">
      <alignment horizontal="center" vertical="center"/>
    </xf>
    <xf numFmtId="0" fontId="0" fillId="10" borderId="90" xfId="0" applyFill="1" applyBorder="1" applyAlignment="1">
      <alignment horizontal="center" vertical="center"/>
    </xf>
    <xf numFmtId="0" fontId="0" fillId="10" borderId="12" xfId="0" applyFill="1" applyBorder="1" applyAlignment="1">
      <alignment horizontal="center" vertical="center"/>
    </xf>
    <xf numFmtId="0" fontId="0" fillId="10" borderId="1" xfId="0" applyFill="1" applyBorder="1" applyAlignment="1">
      <alignment horizontal="center" vertical="center"/>
    </xf>
    <xf numFmtId="0" fontId="0" fillId="10" borderId="3" xfId="0" applyFill="1" applyBorder="1" applyAlignment="1">
      <alignment horizontal="center" vertical="center"/>
    </xf>
    <xf numFmtId="0" fontId="0" fillId="10" borderId="4" xfId="0" applyFill="1" applyBorder="1" applyAlignment="1">
      <alignment horizontal="center" vertical="center"/>
    </xf>
    <xf numFmtId="9" fontId="0" fillId="2" borderId="13" xfId="0" applyNumberFormat="1" applyFill="1" applyBorder="1" applyAlignment="1">
      <alignment vertical="center"/>
    </xf>
    <xf numFmtId="9" fontId="0" fillId="2" borderId="14" xfId="0" applyNumberFormat="1" applyFill="1" applyBorder="1" applyAlignment="1">
      <alignment vertical="center"/>
    </xf>
    <xf numFmtId="9" fontId="0" fillId="2" borderId="15" xfId="0" applyNumberFormat="1" applyFill="1" applyBorder="1" applyAlignment="1">
      <alignment vertical="center"/>
    </xf>
    <xf numFmtId="0" fontId="0" fillId="0" borderId="22" xfId="0" applyBorder="1" applyAlignment="1">
      <alignment horizontal="center" vertical="center"/>
    </xf>
    <xf numFmtId="0" fontId="0" fillId="0" borderId="104" xfId="0" applyBorder="1" applyAlignment="1">
      <alignment vertical="center" shrinkToFit="1"/>
    </xf>
    <xf numFmtId="0" fontId="0" fillId="0" borderId="31" xfId="0" applyBorder="1" applyAlignment="1">
      <alignment vertical="center" shrinkToFit="1"/>
    </xf>
    <xf numFmtId="0" fontId="0" fillId="2" borderId="66" xfId="0" applyFill="1" applyBorder="1" applyAlignment="1">
      <alignment horizontal="center" vertical="center"/>
    </xf>
    <xf numFmtId="0" fontId="0" fillId="2" borderId="69" xfId="0" applyFill="1" applyBorder="1" applyAlignment="1">
      <alignment horizontal="center" vertical="center"/>
    </xf>
    <xf numFmtId="0" fontId="0" fillId="0" borderId="21" xfId="0" applyBorder="1" applyAlignment="1">
      <alignment horizontal="right" vertical="center"/>
    </xf>
    <xf numFmtId="0" fontId="0" fillId="0" borderId="81" xfId="0" applyBorder="1" applyAlignment="1">
      <alignment horizontal="right" vertical="center"/>
    </xf>
    <xf numFmtId="0" fontId="0" fillId="5" borderId="66" xfId="0" applyFill="1" applyBorder="1" applyAlignment="1">
      <alignment horizontal="center" vertical="center"/>
    </xf>
    <xf numFmtId="0" fontId="0" fillId="5" borderId="69" xfId="0" applyFill="1" applyBorder="1" applyAlignment="1">
      <alignment horizontal="center" vertical="center"/>
    </xf>
    <xf numFmtId="0" fontId="0" fillId="5" borderId="67" xfId="0" applyFill="1" applyBorder="1" applyAlignment="1">
      <alignment horizontal="center" vertical="center"/>
    </xf>
    <xf numFmtId="0" fontId="0" fillId="0" borderId="16" xfId="0" applyBorder="1" applyAlignment="1">
      <alignment horizontal="right" vertical="center"/>
    </xf>
    <xf numFmtId="0" fontId="0" fillId="0" borderId="28" xfId="0" applyBorder="1" applyAlignment="1">
      <alignment horizontal="right" vertical="center"/>
    </xf>
    <xf numFmtId="0" fontId="0" fillId="8" borderId="33" xfId="0" applyFill="1" applyBorder="1" applyAlignment="1">
      <alignment horizontal="center" vertical="center"/>
    </xf>
    <xf numFmtId="0" fontId="0" fillId="8" borderId="51" xfId="0" applyFill="1" applyBorder="1" applyAlignment="1">
      <alignment horizontal="center" vertical="center"/>
    </xf>
    <xf numFmtId="0" fontId="0" fillId="10" borderId="22" xfId="0" applyFill="1" applyBorder="1" applyAlignment="1">
      <alignment horizontal="center" vertical="center"/>
    </xf>
    <xf numFmtId="0" fontId="0" fillId="10" borderId="31" xfId="0" applyFill="1" applyBorder="1" applyAlignment="1">
      <alignment horizontal="center" vertical="center"/>
    </xf>
    <xf numFmtId="0" fontId="0" fillId="10" borderId="68" xfId="0" applyFill="1" applyBorder="1" applyAlignment="1">
      <alignment horizontal="center" vertical="center"/>
    </xf>
    <xf numFmtId="6" fontId="7" fillId="5" borderId="52" xfId="19" applyFont="1" applyFill="1" applyBorder="1" applyAlignment="1">
      <alignment horizontal="center" vertical="center"/>
    </xf>
    <xf numFmtId="6" fontId="7" fillId="5" borderId="64" xfId="19" applyFont="1" applyFill="1" applyBorder="1" applyAlignment="1">
      <alignment horizontal="center" vertical="center"/>
    </xf>
    <xf numFmtId="6" fontId="7" fillId="5" borderId="82" xfId="19" applyFont="1" applyFill="1" applyBorder="1" applyAlignment="1">
      <alignment horizontal="center" vertical="center"/>
    </xf>
    <xf numFmtId="0" fontId="0" fillId="0" borderId="130" xfId="0" applyBorder="1" applyAlignment="1">
      <alignment horizontal="center" vertical="center"/>
    </xf>
    <xf numFmtId="0" fontId="0" fillId="0" borderId="52" xfId="0" applyBorder="1" applyAlignment="1">
      <alignment horizontal="right" vertical="center"/>
    </xf>
    <xf numFmtId="0" fontId="0" fillId="0" borderId="63" xfId="0" applyBorder="1" applyAlignment="1">
      <alignment horizontal="right" vertical="center"/>
    </xf>
    <xf numFmtId="0" fontId="0" fillId="0" borderId="132" xfId="0" applyBorder="1" applyAlignment="1">
      <alignment horizontal="center" vertical="center"/>
    </xf>
    <xf numFmtId="0" fontId="0" fillId="0" borderId="133" xfId="0" applyBorder="1" applyAlignment="1">
      <alignment horizontal="center" vertical="center"/>
    </xf>
    <xf numFmtId="0" fontId="0" fillId="10" borderId="9" xfId="0" applyFill="1" applyBorder="1" applyAlignment="1">
      <alignment horizontal="center" vertical="center"/>
    </xf>
    <xf numFmtId="0" fontId="0" fillId="10" borderId="15" xfId="0" applyFill="1" applyBorder="1" applyAlignment="1">
      <alignment horizontal="center" vertical="center"/>
    </xf>
    <xf numFmtId="176" fontId="7" fillId="9" borderId="69" xfId="0" applyNumberFormat="1" applyFont="1" applyFill="1" applyBorder="1" applyAlignment="1">
      <alignment vertical="center"/>
    </xf>
    <xf numFmtId="176" fontId="7" fillId="9" borderId="67" xfId="0" applyNumberFormat="1" applyFont="1" applyFill="1" applyBorder="1" applyAlignment="1">
      <alignment vertical="center"/>
    </xf>
    <xf numFmtId="176" fontId="7" fillId="9" borderId="0" xfId="0" applyNumberFormat="1" applyFont="1" applyFill="1" applyBorder="1" applyAlignment="1">
      <alignment vertical="center"/>
    </xf>
    <xf numFmtId="176" fontId="7" fillId="9" borderId="49" xfId="0" applyNumberFormat="1" applyFont="1" applyFill="1" applyBorder="1" applyAlignment="1">
      <alignment vertical="center"/>
    </xf>
    <xf numFmtId="176" fontId="7" fillId="9" borderId="50" xfId="0" applyNumberFormat="1" applyFont="1" applyFill="1" applyBorder="1" applyAlignment="1">
      <alignment vertical="center"/>
    </xf>
    <xf numFmtId="176" fontId="7" fillId="9" borderId="51" xfId="0" applyNumberFormat="1" applyFont="1" applyFill="1" applyBorder="1" applyAlignment="1">
      <alignment vertical="center"/>
    </xf>
    <xf numFmtId="0" fontId="0" fillId="0" borderId="134" xfId="0" applyBorder="1" applyAlignment="1">
      <alignment horizontal="center" vertical="center"/>
    </xf>
    <xf numFmtId="0" fontId="0" fillId="0" borderId="60" xfId="0" applyBorder="1" applyAlignment="1">
      <alignment horizontal="center" vertical="center"/>
    </xf>
    <xf numFmtId="0" fontId="8" fillId="0" borderId="36" xfId="0" applyFont="1" applyFill="1" applyBorder="1" applyAlignment="1">
      <alignment horizontal="left" vertical="center"/>
    </xf>
    <xf numFmtId="0" fontId="8" fillId="0" borderId="37" xfId="0" applyFont="1" applyFill="1" applyBorder="1" applyAlignment="1">
      <alignment horizontal="left" vertical="center"/>
    </xf>
    <xf numFmtId="0" fontId="8" fillId="0" borderId="27" xfId="0" applyFont="1" applyFill="1" applyBorder="1" applyAlignment="1">
      <alignment horizontal="left" vertical="center"/>
    </xf>
    <xf numFmtId="9" fontId="0" fillId="2" borderId="94" xfId="0" applyNumberFormat="1" applyFill="1" applyBorder="1" applyAlignment="1">
      <alignment vertical="center"/>
    </xf>
    <xf numFmtId="0" fontId="0" fillId="0" borderId="1"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4" borderId="52" xfId="0" applyFill="1" applyBorder="1" applyAlignment="1">
      <alignment horizontal="center" vertical="center"/>
    </xf>
    <xf numFmtId="0" fontId="0" fillId="4" borderId="64" xfId="0" applyFill="1" applyBorder="1" applyAlignment="1">
      <alignment horizontal="center" vertical="center"/>
    </xf>
    <xf numFmtId="0" fontId="0" fillId="4" borderId="82" xfId="0" applyFill="1" applyBorder="1" applyAlignment="1">
      <alignment horizontal="center" vertical="center"/>
    </xf>
    <xf numFmtId="0" fontId="8" fillId="0" borderId="1"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9" fontId="0" fillId="2" borderId="16" xfId="0" applyNumberFormat="1" applyFill="1" applyBorder="1" applyAlignment="1">
      <alignment vertical="center"/>
    </xf>
    <xf numFmtId="9" fontId="0" fillId="2" borderId="64" xfId="0" applyNumberFormat="1" applyFill="1" applyBorder="1" applyAlignment="1">
      <alignment vertical="center"/>
    </xf>
    <xf numFmtId="9" fontId="0" fillId="2" borderId="28" xfId="0" applyNumberFormat="1" applyFill="1" applyBorder="1" applyAlignment="1">
      <alignment vertical="center"/>
    </xf>
    <xf numFmtId="0" fontId="0" fillId="6" borderId="13" xfId="0" applyFill="1" applyBorder="1" applyAlignment="1">
      <alignment vertical="center"/>
    </xf>
    <xf numFmtId="0" fontId="0" fillId="6" borderId="14" xfId="0" applyFill="1" applyBorder="1" applyAlignment="1">
      <alignment vertical="center"/>
    </xf>
    <xf numFmtId="0" fontId="8" fillId="6" borderId="1" xfId="0" applyFont="1" applyFill="1" applyBorder="1" applyAlignment="1">
      <alignment horizontal="left" vertical="center"/>
    </xf>
    <xf numFmtId="0" fontId="8" fillId="6" borderId="3" xfId="0" applyFont="1" applyFill="1" applyBorder="1" applyAlignment="1">
      <alignment horizontal="left" vertical="center"/>
    </xf>
    <xf numFmtId="0" fontId="0" fillId="10" borderId="4" xfId="0" applyNumberFormat="1" applyFont="1" applyFill="1" applyBorder="1" applyAlignment="1">
      <alignment horizontal="right" vertical="center"/>
    </xf>
    <xf numFmtId="0" fontId="0" fillId="10" borderId="9" xfId="0" applyNumberFormat="1" applyFont="1" applyFill="1" applyBorder="1" applyAlignment="1">
      <alignment horizontal="right" vertical="center"/>
    </xf>
    <xf numFmtId="0" fontId="0" fillId="10" borderId="15" xfId="0" applyNumberFormat="1" applyFont="1" applyFill="1" applyBorder="1" applyAlignment="1">
      <alignment horizontal="right" vertical="center"/>
    </xf>
    <xf numFmtId="0" fontId="0" fillId="8" borderId="105" xfId="0" applyFill="1" applyBorder="1" applyAlignment="1">
      <alignment vertical="center"/>
    </xf>
    <xf numFmtId="0" fontId="0" fillId="8" borderId="22" xfId="0" applyFill="1" applyBorder="1" applyAlignment="1">
      <alignment vertical="center"/>
    </xf>
    <xf numFmtId="0" fontId="0" fillId="8" borderId="104" xfId="0" applyFill="1" applyBorder="1" applyAlignment="1">
      <alignment vertical="center"/>
    </xf>
    <xf numFmtId="0" fontId="0" fillId="8" borderId="31" xfId="0" applyFill="1" applyBorder="1" applyAlignment="1">
      <alignment vertical="center"/>
    </xf>
    <xf numFmtId="0" fontId="0" fillId="8" borderId="109" xfId="0" applyFill="1" applyBorder="1" applyAlignment="1">
      <alignment vertical="center"/>
    </xf>
    <xf numFmtId="0" fontId="0" fillId="8" borderId="68" xfId="0" applyFill="1" applyBorder="1" applyAlignment="1">
      <alignment vertical="center"/>
    </xf>
    <xf numFmtId="0" fontId="16" fillId="4" borderId="3"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14" xfId="0" applyFont="1" applyFill="1" applyBorder="1" applyAlignment="1">
      <alignment horizontal="center" vertical="center"/>
    </xf>
    <xf numFmtId="0" fontId="0" fillId="10" borderId="8" xfId="0" applyFill="1" applyBorder="1" applyAlignment="1">
      <alignment horizontal="center" vertical="center"/>
    </xf>
    <xf numFmtId="0" fontId="0" fillId="10" borderId="14" xfId="0" applyFill="1" applyBorder="1" applyAlignment="1">
      <alignment horizontal="center" vertical="center"/>
    </xf>
    <xf numFmtId="0" fontId="0" fillId="0" borderId="135" xfId="0" applyFont="1" applyBorder="1" applyAlignment="1">
      <alignment horizontal="right" vertical="center"/>
    </xf>
    <xf numFmtId="0" fontId="0" fillId="0" borderId="136" xfId="0" applyFont="1" applyBorder="1" applyAlignment="1">
      <alignment horizontal="right" vertical="center"/>
    </xf>
    <xf numFmtId="0" fontId="7" fillId="0" borderId="52"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82" xfId="0" applyFont="1" applyFill="1" applyBorder="1" applyAlignment="1">
      <alignment horizontal="center" vertical="center"/>
    </xf>
    <xf numFmtId="0" fontId="0" fillId="2" borderId="52" xfId="0" applyFill="1" applyBorder="1" applyAlignment="1">
      <alignment horizontal="center" vertical="center"/>
    </xf>
    <xf numFmtId="0" fontId="0" fillId="2" borderId="64" xfId="0" applyFill="1" applyBorder="1" applyAlignment="1">
      <alignment horizontal="center" vertical="center"/>
    </xf>
    <xf numFmtId="0" fontId="0" fillId="0" borderId="1" xfId="0" applyNumberFormat="1" applyFont="1" applyBorder="1" applyAlignment="1">
      <alignment horizontal="center" vertical="center" shrinkToFit="1"/>
    </xf>
    <xf numFmtId="0" fontId="0" fillId="0" borderId="7" xfId="0" applyNumberFormat="1" applyFont="1" applyBorder="1" applyAlignment="1">
      <alignment horizontal="center" vertical="center" shrinkToFit="1"/>
    </xf>
    <xf numFmtId="0" fontId="0" fillId="0" borderId="13" xfId="0" applyNumberFormat="1" applyFont="1" applyBorder="1" applyAlignment="1">
      <alignment horizontal="center" vertical="center" shrinkToFit="1"/>
    </xf>
    <xf numFmtId="0" fontId="0" fillId="10" borderId="11" xfId="0" applyFill="1" applyBorder="1" applyAlignment="1">
      <alignment horizontal="center" vertical="center"/>
    </xf>
    <xf numFmtId="0" fontId="0" fillId="10" borderId="42" xfId="0" applyFill="1" applyBorder="1" applyAlignment="1">
      <alignment horizontal="center" vertical="center"/>
    </xf>
    <xf numFmtId="0" fontId="0" fillId="0" borderId="5" xfId="0" applyNumberFormat="1" applyFont="1" applyBorder="1" applyAlignment="1">
      <alignment horizontal="center" vertical="center" shrinkToFit="1"/>
    </xf>
    <xf numFmtId="0" fontId="0" fillId="10" borderId="12" xfId="0" applyNumberFormat="1" applyFont="1" applyFill="1" applyBorder="1" applyAlignment="1">
      <alignment horizontal="right" vertical="center"/>
    </xf>
    <xf numFmtId="0" fontId="0" fillId="10" borderId="39" xfId="0" applyNumberFormat="1" applyFont="1" applyFill="1" applyBorder="1" applyAlignment="1">
      <alignment horizontal="right" vertical="center"/>
    </xf>
    <xf numFmtId="185" fontId="7" fillId="9" borderId="52" xfId="0" applyNumberFormat="1" applyFont="1" applyFill="1" applyBorder="1" applyAlignment="1">
      <alignment horizontal="right" vertical="center"/>
    </xf>
    <xf numFmtId="185" fontId="7" fillId="9" borderId="64" xfId="0" applyNumberFormat="1" applyFont="1" applyFill="1" applyBorder="1" applyAlignment="1">
      <alignment horizontal="right" vertical="center"/>
    </xf>
    <xf numFmtId="185" fontId="7" fillId="9" borderId="82" xfId="0" applyNumberFormat="1" applyFont="1" applyFill="1" applyBorder="1" applyAlignment="1">
      <alignment horizontal="right" vertical="center"/>
    </xf>
    <xf numFmtId="0" fontId="0" fillId="0" borderId="52" xfId="0" applyNumberFormat="1" applyFont="1" applyBorder="1" applyAlignment="1">
      <alignment horizontal="center" vertical="center"/>
    </xf>
    <xf numFmtId="0" fontId="0" fillId="0" borderId="64" xfId="0" applyNumberFormat="1" applyFont="1" applyBorder="1" applyAlignment="1">
      <alignment horizontal="center" vertical="center"/>
    </xf>
    <xf numFmtId="0" fontId="0" fillId="0" borderId="10" xfId="0" applyNumberFormat="1" applyFont="1" applyBorder="1" applyAlignment="1">
      <alignment horizontal="center" vertical="center" shrinkToFit="1"/>
    </xf>
    <xf numFmtId="0" fontId="0" fillId="0" borderId="53" xfId="0" applyFont="1" applyBorder="1" applyAlignment="1">
      <alignment horizontal="right" vertical="center"/>
    </xf>
    <xf numFmtId="0" fontId="0" fillId="0" borderId="62" xfId="0" applyFont="1" applyBorder="1" applyAlignment="1">
      <alignment horizontal="right" vertical="center"/>
    </xf>
    <xf numFmtId="185" fontId="7" fillId="9" borderId="29" xfId="0" applyNumberFormat="1" applyFont="1" applyFill="1" applyBorder="1" applyAlignment="1">
      <alignment vertical="center"/>
    </xf>
    <xf numFmtId="185" fontId="7" fillId="9" borderId="11" xfId="0" applyNumberFormat="1" applyFont="1" applyFill="1" applyBorder="1" applyAlignment="1">
      <alignment vertical="center"/>
    </xf>
    <xf numFmtId="185" fontId="7" fillId="9" borderId="12" xfId="0" applyNumberFormat="1" applyFont="1" applyFill="1" applyBorder="1" applyAlignment="1">
      <alignment vertical="center"/>
    </xf>
    <xf numFmtId="185" fontId="7" fillId="9" borderId="31" xfId="0" applyNumberFormat="1" applyFont="1" applyFill="1" applyBorder="1" applyAlignment="1">
      <alignment vertical="center"/>
    </xf>
    <xf numFmtId="185" fontId="7" fillId="9" borderId="8" xfId="0" applyNumberFormat="1" applyFont="1" applyFill="1" applyBorder="1" applyAlignment="1">
      <alignment vertical="center"/>
    </xf>
    <xf numFmtId="185" fontId="7" fillId="9" borderId="9" xfId="0" applyNumberFormat="1" applyFont="1" applyFill="1" applyBorder="1" applyAlignment="1">
      <alignment vertical="center"/>
    </xf>
    <xf numFmtId="185" fontId="7" fillId="9" borderId="68" xfId="0" applyNumberFormat="1" applyFont="1" applyFill="1" applyBorder="1" applyAlignment="1">
      <alignment vertical="center"/>
    </xf>
    <xf numFmtId="185" fontId="7" fillId="9" borderId="14" xfId="0" applyNumberFormat="1" applyFont="1" applyFill="1" applyBorder="1" applyAlignment="1">
      <alignment vertical="center"/>
    </xf>
    <xf numFmtId="185" fontId="7" fillId="9" borderId="15" xfId="0" applyNumberFormat="1" applyFont="1" applyFill="1" applyBorder="1" applyAlignment="1">
      <alignment vertical="center"/>
    </xf>
    <xf numFmtId="0" fontId="16" fillId="4" borderId="42" xfId="0" applyFont="1" applyFill="1" applyBorder="1" applyAlignment="1">
      <alignment horizontal="center" vertical="center"/>
    </xf>
    <xf numFmtId="0" fontId="7" fillId="5" borderId="69" xfId="0" applyFont="1" applyFill="1" applyBorder="1"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9" xfId="0" applyFont="1" applyFill="1" applyBorder="1" applyAlignment="1">
      <alignmen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8" fillId="0" borderId="9" xfId="0" applyFont="1" applyFill="1" applyBorder="1" applyAlignment="1">
      <alignment horizontal="left" vertical="center"/>
    </xf>
    <xf numFmtId="0" fontId="0" fillId="8" borderId="66" xfId="0" applyFill="1" applyBorder="1" applyAlignment="1">
      <alignment horizontal="right" vertical="center"/>
    </xf>
    <xf numFmtId="0" fontId="0" fillId="8" borderId="69" xfId="0" applyFill="1" applyBorder="1" applyAlignment="1">
      <alignment horizontal="right" vertical="center"/>
    </xf>
    <xf numFmtId="0" fontId="0" fillId="0" borderId="52" xfId="0" applyBorder="1" applyAlignment="1">
      <alignment horizontal="center" vertical="center"/>
    </xf>
    <xf numFmtId="0" fontId="0" fillId="0" borderId="63" xfId="0" applyBorder="1" applyAlignment="1">
      <alignment horizontal="center" vertical="center"/>
    </xf>
    <xf numFmtId="0" fontId="0" fillId="0" borderId="18" xfId="0" applyBorder="1" applyAlignment="1">
      <alignment horizontal="right" vertical="center"/>
    </xf>
    <xf numFmtId="0" fontId="0" fillId="0" borderId="53" xfId="0" applyBorder="1" applyAlignment="1">
      <alignment horizontal="center" vertical="center"/>
    </xf>
    <xf numFmtId="0" fontId="0" fillId="0" borderId="20" xfId="0" applyBorder="1" applyAlignment="1">
      <alignment horizontal="center" vertical="center"/>
    </xf>
    <xf numFmtId="0" fontId="0" fillId="0" borderId="36" xfId="0" applyBorder="1" applyAlignment="1">
      <alignment horizontal="center" vertical="center"/>
    </xf>
    <xf numFmtId="0" fontId="16" fillId="4" borderId="53"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27" fillId="5" borderId="69" xfId="0" applyFont="1" applyFill="1" applyBorder="1" applyAlignment="1">
      <alignment horizontal="center" vertical="center"/>
    </xf>
    <xf numFmtId="0" fontId="0" fillId="0" borderId="52" xfId="0" applyFont="1" applyBorder="1" applyAlignment="1">
      <alignment horizontal="right" vertical="center"/>
    </xf>
    <xf numFmtId="0" fontId="0" fillId="0" borderId="64" xfId="0" applyFont="1" applyBorder="1" applyAlignment="1">
      <alignment horizontal="right" vertical="center"/>
    </xf>
    <xf numFmtId="179" fontId="0" fillId="0" borderId="41" xfId="0" applyNumberFormat="1" applyFont="1" applyBorder="1" applyAlignment="1">
      <alignment horizontal="center" vertical="center"/>
    </xf>
    <xf numFmtId="179" fontId="0" fillId="0" borderId="27" xfId="0" applyNumberFormat="1" applyFont="1" applyBorder="1" applyAlignment="1">
      <alignment horizontal="center" vertical="center"/>
    </xf>
    <xf numFmtId="0" fontId="0" fillId="0" borderId="52" xfId="0" applyFont="1" applyFill="1" applyBorder="1" applyAlignment="1">
      <alignment horizontal="right" vertical="center"/>
    </xf>
    <xf numFmtId="0" fontId="0" fillId="0" borderId="63" xfId="0" applyFont="1" applyFill="1" applyBorder="1" applyAlignment="1">
      <alignment horizontal="right" vertical="center"/>
    </xf>
    <xf numFmtId="0" fontId="15" fillId="8" borderId="137" xfId="0" applyFont="1" applyFill="1" applyBorder="1" applyAlignment="1">
      <alignment vertical="center"/>
    </xf>
    <xf numFmtId="0" fontId="15" fillId="8" borderId="102" xfId="0" applyFont="1" applyFill="1" applyBorder="1" applyAlignment="1">
      <alignment vertical="center"/>
    </xf>
    <xf numFmtId="0" fontId="15" fillId="8" borderId="46" xfId="0" applyFont="1" applyFill="1" applyBorder="1" applyAlignment="1">
      <alignment vertical="center"/>
    </xf>
    <xf numFmtId="0" fontId="8" fillId="8" borderId="21" xfId="0" applyFont="1" applyFill="1" applyBorder="1" applyAlignment="1">
      <alignment vertical="center"/>
    </xf>
    <xf numFmtId="0" fontId="8" fillId="8" borderId="0" xfId="0" applyFont="1" applyFill="1" applyBorder="1" applyAlignment="1">
      <alignment vertical="center"/>
    </xf>
    <xf numFmtId="0" fontId="8" fillId="8" borderId="49" xfId="0" applyFont="1" applyFill="1" applyBorder="1" applyAlignment="1">
      <alignment vertical="center"/>
    </xf>
    <xf numFmtId="0" fontId="8" fillId="8" borderId="131" xfId="0" applyFont="1" applyFill="1" applyBorder="1" applyAlignment="1">
      <alignment horizontal="left" vertical="center"/>
    </xf>
    <xf numFmtId="0" fontId="8" fillId="8" borderId="90" xfId="0" applyFont="1" applyFill="1" applyBorder="1" applyAlignment="1">
      <alignment horizontal="left" vertical="center"/>
    </xf>
    <xf numFmtId="0" fontId="8" fillId="8" borderId="45" xfId="0" applyFont="1" applyFill="1" applyBorder="1" applyAlignment="1">
      <alignment horizontal="left" vertical="center"/>
    </xf>
    <xf numFmtId="0" fontId="0" fillId="0" borderId="66" xfId="0" applyBorder="1" applyAlignment="1">
      <alignment horizontal="right" vertical="center"/>
    </xf>
    <xf numFmtId="0" fontId="0" fillId="0" borderId="130" xfId="0" applyBorder="1" applyAlignment="1">
      <alignment horizontal="right" vertical="center"/>
    </xf>
    <xf numFmtId="0" fontId="0" fillId="0" borderId="7" xfId="0" applyBorder="1" applyAlignment="1">
      <alignment vertical="center"/>
    </xf>
    <xf numFmtId="0" fontId="0" fillId="0" borderId="8" xfId="0" applyBorder="1" applyAlignment="1">
      <alignment vertical="center"/>
    </xf>
    <xf numFmtId="0" fontId="0" fillId="10" borderId="7" xfId="0" applyFill="1" applyBorder="1" applyAlignment="1">
      <alignment horizontal="center" vertical="center"/>
    </xf>
    <xf numFmtId="0" fontId="0" fillId="10" borderId="13" xfId="0" applyFill="1" applyBorder="1" applyAlignment="1">
      <alignment horizontal="center" vertical="center"/>
    </xf>
    <xf numFmtId="176" fontId="7" fillId="9" borderId="18" xfId="0" applyNumberFormat="1" applyFont="1" applyFill="1" applyBorder="1" applyAlignment="1">
      <alignment horizontal="right" vertical="center"/>
    </xf>
    <xf numFmtId="176" fontId="7" fillId="9" borderId="28" xfId="0" applyNumberFormat="1" applyFont="1" applyFill="1" applyBorder="1" applyAlignment="1">
      <alignment horizontal="right" vertical="center"/>
    </xf>
    <xf numFmtId="0" fontId="0" fillId="10" borderId="39" xfId="0" applyFill="1" applyBorder="1" applyAlignment="1">
      <alignment horizontal="center" vertical="center"/>
    </xf>
    <xf numFmtId="0" fontId="16" fillId="4" borderId="5" xfId="0" applyFont="1" applyFill="1" applyBorder="1" applyAlignment="1">
      <alignment horizontal="center" vertical="center"/>
    </xf>
    <xf numFmtId="0" fontId="0" fillId="0" borderId="52" xfId="0" applyBorder="1" applyAlignment="1">
      <alignment horizontal="center" vertical="center" shrinkToFit="1"/>
    </xf>
    <xf numFmtId="0" fontId="0" fillId="0" borderId="64" xfId="0" applyBorder="1" applyAlignment="1">
      <alignment horizontal="center" vertical="center" shrinkToFit="1"/>
    </xf>
    <xf numFmtId="0" fontId="0" fillId="0" borderId="63" xfId="0" applyBorder="1" applyAlignment="1">
      <alignment horizontal="center" vertical="center" shrinkToFit="1"/>
    </xf>
    <xf numFmtId="0" fontId="0" fillId="10" borderId="22" xfId="0" applyFont="1" applyFill="1" applyBorder="1" applyAlignment="1">
      <alignment horizontal="center" vertical="center"/>
    </xf>
    <xf numFmtId="0" fontId="0" fillId="10" borderId="31" xfId="0" applyFont="1" applyFill="1" applyBorder="1" applyAlignment="1">
      <alignment horizontal="center" vertical="center"/>
    </xf>
    <xf numFmtId="0" fontId="0" fillId="10" borderId="38" xfId="0" applyFont="1" applyFill="1" applyBorder="1" applyAlignment="1">
      <alignment horizontal="center" vertical="center"/>
    </xf>
    <xf numFmtId="0" fontId="0" fillId="0" borderId="105" xfId="0" applyBorder="1" applyAlignment="1">
      <alignment vertical="center"/>
    </xf>
    <xf numFmtId="0" fontId="0" fillId="0" borderId="22" xfId="0" applyBorder="1" applyAlignment="1">
      <alignment vertical="center"/>
    </xf>
    <xf numFmtId="0" fontId="6" fillId="0" borderId="1" xfId="0" applyFont="1" applyFill="1" applyBorder="1" applyAlignment="1">
      <alignment vertical="center"/>
    </xf>
    <xf numFmtId="0" fontId="6" fillId="0" borderId="3" xfId="0" applyFont="1" applyFill="1" applyBorder="1" applyAlignment="1">
      <alignment vertical="center"/>
    </xf>
    <xf numFmtId="0" fontId="0" fillId="0" borderId="1" xfId="0" applyBorder="1" applyAlignment="1">
      <alignment vertical="center"/>
    </xf>
    <xf numFmtId="0" fontId="0" fillId="0" borderId="3" xfId="0" applyBorder="1" applyAlignment="1">
      <alignment vertical="center"/>
    </xf>
    <xf numFmtId="0" fontId="8" fillId="0" borderId="109" xfId="0" applyFont="1" applyBorder="1" applyAlignment="1">
      <alignment horizontal="left" vertical="center"/>
    </xf>
    <xf numFmtId="0" fontId="8" fillId="0" borderId="94" xfId="0" applyFont="1" applyBorder="1" applyAlignment="1">
      <alignment horizontal="left" vertical="center"/>
    </xf>
    <xf numFmtId="0" fontId="8" fillId="0" borderId="60" xfId="0" applyFont="1" applyBorder="1" applyAlignment="1">
      <alignment horizontal="left" vertical="center"/>
    </xf>
    <xf numFmtId="0" fontId="0" fillId="0" borderId="64" xfId="0" applyBorder="1" applyAlignment="1">
      <alignment horizontal="center" vertical="center"/>
    </xf>
    <xf numFmtId="0" fontId="0" fillId="0" borderId="82" xfId="0" applyBorder="1" applyAlignment="1">
      <alignment horizontal="center" vertical="center"/>
    </xf>
    <xf numFmtId="0" fontId="8" fillId="0" borderId="104" xfId="0" applyFont="1" applyBorder="1" applyAlignment="1">
      <alignment horizontal="left" vertical="center"/>
    </xf>
    <xf numFmtId="0" fontId="8" fillId="0" borderId="92" xfId="0" applyFont="1" applyBorder="1" applyAlignment="1">
      <alignment horizontal="left" vertical="center"/>
    </xf>
    <xf numFmtId="0" fontId="8" fillId="0" borderId="48" xfId="0" applyFont="1" applyBorder="1" applyAlignment="1">
      <alignment horizontal="left" vertical="center"/>
    </xf>
    <xf numFmtId="0" fontId="8" fillId="0" borderId="105" xfId="0" applyFont="1" applyBorder="1" applyAlignment="1">
      <alignment horizontal="left" vertical="center"/>
    </xf>
    <xf numFmtId="0" fontId="8" fillId="0" borderId="101" xfId="0" applyFont="1" applyBorder="1" applyAlignment="1">
      <alignment horizontal="left" vertical="center"/>
    </xf>
    <xf numFmtId="0" fontId="8" fillId="0" borderId="47" xfId="0" applyFont="1" applyBorder="1" applyAlignment="1">
      <alignment horizontal="left" vertical="center"/>
    </xf>
    <xf numFmtId="0" fontId="0" fillId="0" borderId="5" xfId="0" applyBorder="1" applyAlignment="1">
      <alignment vertical="center"/>
    </xf>
    <xf numFmtId="0" fontId="0" fillId="0" borderId="42" xfId="0" applyBorder="1" applyAlignment="1">
      <alignment vertical="center"/>
    </xf>
    <xf numFmtId="176" fontId="7" fillId="9" borderId="55" xfId="0" applyNumberFormat="1" applyFont="1" applyFill="1" applyBorder="1" applyAlignment="1">
      <alignment vertical="center"/>
    </xf>
    <xf numFmtId="176" fontId="7" fillId="9" borderId="54" xfId="0" applyNumberFormat="1" applyFont="1" applyFill="1" applyBorder="1" applyAlignment="1">
      <alignment vertical="center"/>
    </xf>
    <xf numFmtId="176" fontId="7" fillId="9" borderId="43" xfId="0" applyNumberFormat="1" applyFont="1" applyFill="1" applyBorder="1" applyAlignment="1">
      <alignment vertical="center"/>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8" fillId="0" borderId="15" xfId="0" applyFont="1" applyFill="1" applyBorder="1" applyAlignment="1">
      <alignment horizontal="left" vertical="center"/>
    </xf>
    <xf numFmtId="0" fontId="7" fillId="5" borderId="66" xfId="0" applyFont="1" applyFill="1" applyBorder="1" applyAlignment="1">
      <alignment horizontal="center" vertical="center"/>
    </xf>
    <xf numFmtId="0" fontId="7" fillId="5" borderId="67" xfId="0" applyFont="1" applyFill="1" applyBorder="1" applyAlignment="1">
      <alignment horizontal="center" vertical="center"/>
    </xf>
    <xf numFmtId="0" fontId="0" fillId="10" borderId="16" xfId="0" applyFont="1" applyFill="1" applyBorder="1" applyAlignment="1">
      <alignment horizontal="center" vertical="center"/>
    </xf>
    <xf numFmtId="0" fontId="0" fillId="10" borderId="18" xfId="0" applyFont="1" applyFill="1" applyBorder="1" applyAlignment="1">
      <alignment horizontal="center" vertical="center"/>
    </xf>
    <xf numFmtId="0" fontId="0" fillId="10" borderId="18" xfId="0" applyFill="1" applyBorder="1" applyAlignment="1">
      <alignment horizontal="center" vertical="center"/>
    </xf>
    <xf numFmtId="0" fontId="0" fillId="10" borderId="28" xfId="0" applyFill="1" applyBorder="1" applyAlignment="1">
      <alignment horizontal="center" vertical="center"/>
    </xf>
    <xf numFmtId="0" fontId="0" fillId="0" borderId="33" xfId="0" applyBorder="1" applyAlignment="1">
      <alignment horizontal="center" vertical="center"/>
    </xf>
    <xf numFmtId="0" fontId="0" fillId="0" borderId="26" xfId="0" applyBorder="1" applyAlignment="1">
      <alignment horizontal="center" vertical="center"/>
    </xf>
    <xf numFmtId="0" fontId="0" fillId="0" borderId="104" xfId="0" applyBorder="1" applyAlignment="1">
      <alignment vertical="center"/>
    </xf>
    <xf numFmtId="0" fontId="0" fillId="0" borderId="31"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10" borderId="66" xfId="0" applyFill="1" applyBorder="1" applyAlignment="1">
      <alignment horizontal="center" vertical="center" wrapText="1"/>
    </xf>
    <xf numFmtId="0" fontId="0" fillId="10" borderId="69" xfId="0" applyFill="1" applyBorder="1" applyAlignment="1">
      <alignment horizontal="center" vertical="center" wrapText="1"/>
    </xf>
    <xf numFmtId="0" fontId="0" fillId="10" borderId="130" xfId="0" applyFill="1" applyBorder="1" applyAlignment="1">
      <alignment horizontal="center" vertical="center" wrapText="1"/>
    </xf>
    <xf numFmtId="0" fontId="0" fillId="10" borderId="52" xfId="0" applyFill="1" applyBorder="1" applyAlignment="1">
      <alignment horizontal="center" vertical="center" wrapText="1"/>
    </xf>
    <xf numFmtId="0" fontId="0" fillId="10" borderId="64" xfId="0" applyFill="1" applyBorder="1" applyAlignment="1">
      <alignment horizontal="center" vertical="center" wrapText="1"/>
    </xf>
    <xf numFmtId="0" fontId="7" fillId="10" borderId="52" xfId="0" applyNumberFormat="1" applyFont="1" applyFill="1" applyBorder="1" applyAlignment="1">
      <alignment horizontal="center" vertical="center"/>
    </xf>
    <xf numFmtId="0" fontId="7" fillId="10" borderId="82" xfId="0" applyNumberFormat="1" applyFont="1" applyFill="1" applyBorder="1" applyAlignment="1">
      <alignment horizontal="center" vertical="center"/>
    </xf>
    <xf numFmtId="0" fontId="0" fillId="0" borderId="66" xfId="0" applyFill="1" applyBorder="1" applyAlignment="1">
      <alignment horizontal="center" vertical="center"/>
    </xf>
    <xf numFmtId="0" fontId="0" fillId="0" borderId="69" xfId="0" applyFill="1" applyBorder="1" applyAlignment="1">
      <alignment horizontal="center" vertical="center"/>
    </xf>
    <xf numFmtId="0" fontId="0" fillId="0" borderId="67" xfId="0" applyFill="1" applyBorder="1" applyAlignment="1">
      <alignment horizontal="center" vertical="center"/>
    </xf>
    <xf numFmtId="0" fontId="16" fillId="4" borderId="62" xfId="0" applyFont="1" applyFill="1" applyBorder="1" applyAlignment="1">
      <alignment horizontal="center" vertical="center" wrapText="1"/>
    </xf>
    <xf numFmtId="0" fontId="16" fillId="4" borderId="44" xfId="0" applyFont="1" applyFill="1" applyBorder="1" applyAlignment="1">
      <alignment horizontal="center" vertical="center" wrapText="1"/>
    </xf>
    <xf numFmtId="0" fontId="0" fillId="10" borderId="52" xfId="0" applyNumberFormat="1" applyFill="1" applyBorder="1" applyAlignment="1">
      <alignment horizontal="center" vertical="center"/>
    </xf>
    <xf numFmtId="0" fontId="0" fillId="10" borderId="64" xfId="0" applyNumberFormat="1" applyFill="1" applyBorder="1" applyAlignment="1">
      <alignment horizontal="center" vertical="center"/>
    </xf>
    <xf numFmtId="0" fontId="0" fillId="10" borderId="82" xfId="0" applyNumberFormat="1" applyFill="1" applyBorder="1" applyAlignment="1">
      <alignment horizontal="center" vertical="center"/>
    </xf>
    <xf numFmtId="176" fontId="7" fillId="9" borderId="52" xfId="0" applyNumberFormat="1" applyFont="1" applyFill="1" applyBorder="1" applyAlignment="1">
      <alignment horizontal="right" vertical="center"/>
    </xf>
    <xf numFmtId="176" fontId="7" fillId="9" borderId="64" xfId="0" applyNumberFormat="1" applyFont="1" applyFill="1" applyBorder="1" applyAlignment="1">
      <alignment horizontal="right" vertical="center"/>
    </xf>
    <xf numFmtId="176" fontId="7" fillId="9" borderId="82" xfId="0" applyNumberFormat="1" applyFont="1" applyFill="1" applyBorder="1" applyAlignment="1">
      <alignment horizontal="right" vertical="center"/>
    </xf>
    <xf numFmtId="0" fontId="0" fillId="10" borderId="17" xfId="0" applyNumberFormat="1" applyFill="1" applyBorder="1" applyAlignment="1">
      <alignment horizontal="center" vertical="center"/>
    </xf>
    <xf numFmtId="0" fontId="0" fillId="10" borderId="36" xfId="0" applyFill="1" applyBorder="1" applyAlignment="1">
      <alignment horizontal="center" vertical="center"/>
    </xf>
    <xf numFmtId="0" fontId="0" fillId="10" borderId="37" xfId="0" applyFill="1" applyBorder="1" applyAlignment="1">
      <alignment horizontal="center" vertical="center"/>
    </xf>
    <xf numFmtId="0" fontId="0" fillId="0" borderId="1" xfId="0" applyNumberFormat="1" applyBorder="1" applyAlignment="1">
      <alignment horizontal="center" vertical="center"/>
    </xf>
    <xf numFmtId="0" fontId="0" fillId="0" borderId="3" xfId="0" applyNumberFormat="1" applyBorder="1" applyAlignment="1">
      <alignment horizontal="center" vertical="center"/>
    </xf>
    <xf numFmtId="0" fontId="0" fillId="0" borderId="4" xfId="0" applyNumberFormat="1" applyBorder="1" applyAlignment="1">
      <alignment horizontal="center" vertical="center"/>
    </xf>
    <xf numFmtId="176" fontId="7" fillId="9" borderId="33" xfId="0" applyNumberFormat="1" applyFont="1" applyFill="1" applyBorder="1" applyAlignment="1">
      <alignment horizontal="right" vertical="center"/>
    </xf>
    <xf numFmtId="176" fontId="7" fillId="9" borderId="50" xfId="0" applyNumberFormat="1" applyFont="1" applyFill="1" applyBorder="1" applyAlignment="1">
      <alignment horizontal="right" vertical="center"/>
    </xf>
    <xf numFmtId="0" fontId="0" fillId="0" borderId="10" xfId="0" applyBorder="1" applyAlignment="1">
      <alignment horizontal="center" vertical="center"/>
    </xf>
    <xf numFmtId="0" fontId="0" fillId="10" borderId="16" xfId="0" applyFill="1" applyBorder="1" applyAlignment="1">
      <alignment horizontal="center" vertical="center"/>
    </xf>
    <xf numFmtId="176" fontId="7" fillId="9" borderId="52" xfId="0" applyNumberFormat="1" applyFont="1" applyFill="1" applyBorder="1" applyAlignment="1">
      <alignment vertical="center"/>
    </xf>
    <xf numFmtId="176" fontId="7" fillId="9" borderId="64" xfId="0" applyNumberFormat="1" applyFont="1" applyFill="1" applyBorder="1" applyAlignment="1">
      <alignment vertical="center"/>
    </xf>
    <xf numFmtId="0" fontId="8" fillId="8" borderId="33" xfId="0" applyFont="1" applyFill="1" applyBorder="1" applyAlignment="1">
      <alignment vertical="center"/>
    </xf>
    <xf numFmtId="0" fontId="8" fillId="8" borderId="50" xfId="0" applyFont="1" applyFill="1" applyBorder="1" applyAlignment="1">
      <alignment vertical="center"/>
    </xf>
    <xf numFmtId="0" fontId="8" fillId="8" borderId="51" xfId="0" applyFont="1" applyFill="1" applyBorder="1" applyAlignment="1">
      <alignment vertical="center"/>
    </xf>
    <xf numFmtId="0" fontId="0" fillId="0" borderId="63" xfId="0" applyBorder="1" applyAlignment="1">
      <alignment vertical="center"/>
    </xf>
    <xf numFmtId="0" fontId="27" fillId="5" borderId="66" xfId="0" applyFont="1" applyFill="1" applyBorder="1" applyAlignment="1">
      <alignment horizontal="center" vertical="center"/>
    </xf>
    <xf numFmtId="0" fontId="27" fillId="5" borderId="67" xfId="0" applyFont="1" applyFill="1" applyBorder="1" applyAlignment="1">
      <alignment horizontal="center" vertical="center"/>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0" fillId="0" borderId="33" xfId="0" applyBorder="1" applyAlignment="1">
      <alignment horizontal="right" vertical="center"/>
    </xf>
    <xf numFmtId="0" fontId="0" fillId="0" borderId="26" xfId="0" applyBorder="1" applyAlignment="1">
      <alignment horizontal="right" vertical="center"/>
    </xf>
    <xf numFmtId="0" fontId="0" fillId="0" borderId="20" xfId="0" applyFill="1" applyBorder="1" applyAlignment="1">
      <alignment horizontal="center" vertical="center"/>
    </xf>
    <xf numFmtId="0" fontId="0" fillId="0" borderId="44" xfId="0" applyFill="1" applyBorder="1" applyAlignment="1">
      <alignment horizontal="center" vertical="center"/>
    </xf>
    <xf numFmtId="0" fontId="0" fillId="0" borderId="13" xfId="0" applyNumberFormat="1" applyBorder="1" applyAlignment="1">
      <alignment horizontal="center" vertical="center"/>
    </xf>
    <xf numFmtId="0" fontId="0" fillId="0" borderId="14" xfId="0" applyNumberFormat="1" applyBorder="1" applyAlignment="1">
      <alignment horizontal="center" vertical="center"/>
    </xf>
    <xf numFmtId="0" fontId="0" fillId="0" borderId="15" xfId="0" applyNumberFormat="1" applyBorder="1" applyAlignment="1">
      <alignment horizontal="center" vertical="center"/>
    </xf>
    <xf numFmtId="0" fontId="0" fillId="10" borderId="44" xfId="0" applyNumberFormat="1" applyFill="1" applyBorder="1" applyAlignment="1">
      <alignment horizontal="center" vertical="center"/>
    </xf>
    <xf numFmtId="0" fontId="0" fillId="10" borderId="35" xfId="0" applyNumberFormat="1" applyFill="1" applyBorder="1" applyAlignment="1">
      <alignment horizontal="center" vertical="center"/>
    </xf>
    <xf numFmtId="0" fontId="0" fillId="10" borderId="20" xfId="0" applyFill="1" applyBorder="1" applyAlignment="1">
      <alignment horizontal="center" vertical="center"/>
    </xf>
    <xf numFmtId="0" fontId="0" fillId="10" borderId="44" xfId="0" applyFill="1" applyBorder="1" applyAlignment="1">
      <alignment horizontal="center" vertical="center"/>
    </xf>
    <xf numFmtId="0" fontId="0" fillId="4" borderId="1" xfId="0" applyFill="1" applyBorder="1" applyAlignment="1">
      <alignment horizontal="center" vertical="center" shrinkToFit="1"/>
    </xf>
    <xf numFmtId="0" fontId="0" fillId="4" borderId="7" xfId="0" applyFill="1" applyBorder="1" applyAlignment="1">
      <alignment horizontal="center" vertical="center" shrinkToFit="1"/>
    </xf>
    <xf numFmtId="0" fontId="0" fillId="4" borderId="13" xfId="0" applyFill="1" applyBorder="1" applyAlignment="1">
      <alignment horizontal="center" vertical="center" shrinkToFit="1"/>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50" xfId="0" applyBorder="1" applyAlignment="1">
      <alignment horizontal="center" vertical="center"/>
    </xf>
    <xf numFmtId="0" fontId="7" fillId="10" borderId="44" xfId="0" applyNumberFormat="1" applyFont="1" applyFill="1" applyBorder="1" applyAlignment="1">
      <alignment horizontal="center" vertical="center"/>
    </xf>
    <xf numFmtId="0" fontId="7" fillId="10" borderId="35" xfId="0" applyNumberFormat="1" applyFont="1" applyFill="1" applyBorder="1" applyAlignment="1">
      <alignment horizontal="center" vertical="center"/>
    </xf>
    <xf numFmtId="0" fontId="0" fillId="8" borderId="66" xfId="0" applyFill="1" applyBorder="1" applyAlignment="1">
      <alignment horizontal="center" vertical="center"/>
    </xf>
    <xf numFmtId="0" fontId="0" fillId="8" borderId="69" xfId="0" applyFill="1" applyBorder="1" applyAlignment="1">
      <alignment horizontal="center" vertical="center"/>
    </xf>
    <xf numFmtId="0" fontId="0" fillId="8" borderId="21" xfId="0" applyFill="1" applyBorder="1" applyAlignment="1">
      <alignment horizontal="center" vertical="center"/>
    </xf>
    <xf numFmtId="0" fontId="0" fillId="8" borderId="0" xfId="0" applyFill="1" applyBorder="1" applyAlignment="1">
      <alignment horizontal="center" vertical="center"/>
    </xf>
    <xf numFmtId="0" fontId="0" fillId="2" borderId="4" xfId="0" applyFill="1" applyBorder="1" applyAlignment="1">
      <alignment vertical="center"/>
    </xf>
    <xf numFmtId="0" fontId="0" fillId="2" borderId="39" xfId="0" applyFill="1" applyBorder="1" applyAlignment="1">
      <alignment vertical="center"/>
    </xf>
    <xf numFmtId="0" fontId="7" fillId="10" borderId="7" xfId="0" applyNumberFormat="1" applyFont="1" applyFill="1" applyBorder="1" applyAlignment="1">
      <alignment horizontal="center" vertical="center"/>
    </xf>
    <xf numFmtId="0" fontId="7" fillId="10" borderId="8" xfId="0" applyNumberFormat="1" applyFont="1" applyFill="1" applyBorder="1" applyAlignment="1">
      <alignment horizontal="center" vertical="center"/>
    </xf>
    <xf numFmtId="0" fontId="7" fillId="10" borderId="9" xfId="0" applyNumberFormat="1" applyFont="1" applyFill="1" applyBorder="1" applyAlignment="1">
      <alignment horizontal="center" vertical="center"/>
    </xf>
    <xf numFmtId="178" fontId="0" fillId="0" borderId="20" xfId="0" applyNumberFormat="1" applyFill="1" applyBorder="1" applyAlignment="1">
      <alignment horizontal="center" vertical="center"/>
    </xf>
    <xf numFmtId="178" fontId="0" fillId="0" borderId="44" xfId="0" applyNumberFormat="1" applyFill="1" applyBorder="1" applyAlignment="1">
      <alignment horizontal="center" vertical="center"/>
    </xf>
    <xf numFmtId="0" fontId="0" fillId="2" borderId="41" xfId="0" applyFill="1" applyBorder="1" applyAlignment="1">
      <alignment vertical="center"/>
    </xf>
    <xf numFmtId="0" fontId="0" fillId="2" borderId="35" xfId="0" applyFill="1" applyBorder="1" applyAlignment="1">
      <alignment vertical="center"/>
    </xf>
    <xf numFmtId="0" fontId="7" fillId="5" borderId="16" xfId="0" applyFont="1" applyFill="1" applyBorder="1" applyAlignment="1">
      <alignment horizontal="center" vertical="center"/>
    </xf>
    <xf numFmtId="0" fontId="7" fillId="5" borderId="18" xfId="0" applyFont="1" applyFill="1" applyBorder="1" applyAlignment="1">
      <alignment horizontal="center" vertical="center"/>
    </xf>
    <xf numFmtId="0" fontId="7" fillId="5" borderId="17" xfId="0" applyFont="1" applyFill="1" applyBorder="1" applyAlignment="1">
      <alignment horizontal="center" vertical="center"/>
    </xf>
    <xf numFmtId="0" fontId="0" fillId="0" borderId="108" xfId="0" applyBorder="1" applyAlignment="1">
      <alignment horizontal="center" vertical="center"/>
    </xf>
    <xf numFmtId="0" fontId="0" fillId="0" borderId="65" xfId="0" applyBorder="1" applyAlignment="1">
      <alignment horizontal="center" vertical="center"/>
    </xf>
    <xf numFmtId="0" fontId="0" fillId="0" borderId="100" xfId="0" applyBorder="1" applyAlignment="1">
      <alignment horizontal="center" vertical="center"/>
    </xf>
    <xf numFmtId="176" fontId="7" fillId="9" borderId="82" xfId="0" applyNumberFormat="1" applyFont="1" applyFill="1" applyBorder="1" applyAlignment="1">
      <alignment vertical="center"/>
    </xf>
    <xf numFmtId="0" fontId="0" fillId="0" borderId="51" xfId="0" applyBorder="1" applyAlignment="1">
      <alignment horizontal="center" vertical="center"/>
    </xf>
    <xf numFmtId="0" fontId="8" fillId="0" borderId="7" xfId="0" applyFont="1" applyBorder="1" applyAlignment="1">
      <alignment vertical="center"/>
    </xf>
    <xf numFmtId="0" fontId="8" fillId="0" borderId="31"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13" xfId="0" applyFont="1" applyBorder="1" applyAlignment="1">
      <alignment vertical="center"/>
    </xf>
    <xf numFmtId="0" fontId="8" fillId="0" borderId="68"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0" fillId="8" borderId="67" xfId="0" applyFill="1" applyBorder="1" applyAlignment="1">
      <alignment horizontal="center" vertical="center"/>
    </xf>
    <xf numFmtId="0" fontId="0" fillId="0" borderId="99" xfId="0" applyFill="1" applyBorder="1" applyAlignment="1">
      <alignment horizontal="center" vertical="center"/>
    </xf>
    <xf numFmtId="0" fontId="0" fillId="0" borderId="80" xfId="0" applyFill="1" applyBorder="1" applyAlignment="1">
      <alignment horizontal="center" vertical="center"/>
    </xf>
    <xf numFmtId="0" fontId="0" fillId="0" borderId="99" xfId="0" applyBorder="1" applyAlignment="1">
      <alignment horizontal="center" vertical="center"/>
    </xf>
    <xf numFmtId="0" fontId="0" fillId="0" borderId="80"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7" fillId="10" borderId="104" xfId="0" applyNumberFormat="1" applyFont="1" applyFill="1" applyBorder="1" applyAlignment="1">
      <alignment horizontal="center" vertical="center"/>
    </xf>
    <xf numFmtId="0" fontId="7" fillId="10" borderId="92" xfId="0" applyNumberFormat="1" applyFont="1" applyFill="1" applyBorder="1" applyAlignment="1">
      <alignment horizontal="center" vertical="center"/>
    </xf>
    <xf numFmtId="0" fontId="7" fillId="10" borderId="48" xfId="0" applyNumberFormat="1" applyFon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178" fontId="0" fillId="0" borderId="36" xfId="0" applyNumberFormat="1" applyFill="1" applyBorder="1" applyAlignment="1">
      <alignment horizontal="center" vertical="center"/>
    </xf>
    <xf numFmtId="178" fontId="0" fillId="0" borderId="37" xfId="0" applyNumberFormat="1" applyFill="1" applyBorder="1" applyAlignment="1">
      <alignment horizontal="center" vertical="center"/>
    </xf>
    <xf numFmtId="0" fontId="0" fillId="0" borderId="66" xfId="0" applyBorder="1" applyAlignment="1">
      <alignment horizontal="center" vertical="center" shrinkToFit="1"/>
    </xf>
    <xf numFmtId="0" fontId="0" fillId="0" borderId="130" xfId="0" applyBorder="1" applyAlignment="1">
      <alignment horizontal="center" vertical="center" shrinkToFit="1"/>
    </xf>
    <xf numFmtId="0" fontId="0" fillId="0" borderId="21" xfId="0" applyBorder="1" applyAlignment="1">
      <alignment horizontal="center" vertical="center" shrinkToFit="1"/>
    </xf>
    <xf numFmtId="0" fontId="0" fillId="0" borderId="81" xfId="0" applyBorder="1" applyAlignment="1">
      <alignment horizontal="center" vertical="center" shrinkToFit="1"/>
    </xf>
    <xf numFmtId="0" fontId="0" fillId="0" borderId="33" xfId="0" applyBorder="1" applyAlignment="1">
      <alignment horizontal="center" vertical="center" shrinkToFit="1"/>
    </xf>
    <xf numFmtId="0" fontId="0" fillId="0" borderId="26" xfId="0" applyBorder="1" applyAlignment="1">
      <alignment horizontal="center" vertical="center" shrinkToFit="1"/>
    </xf>
    <xf numFmtId="0" fontId="0" fillId="0" borderId="53" xfId="0" applyFill="1" applyBorder="1" applyAlignment="1">
      <alignment horizontal="center" vertical="center"/>
    </xf>
    <xf numFmtId="0" fontId="0" fillId="0" borderId="62" xfId="0" applyFill="1" applyBorder="1" applyAlignment="1">
      <alignment horizontal="center" vertical="center"/>
    </xf>
    <xf numFmtId="0" fontId="0" fillId="0" borderId="62" xfId="0" applyBorder="1" applyAlignment="1">
      <alignment horizontal="center" vertical="center"/>
    </xf>
    <xf numFmtId="0" fontId="0" fillId="10" borderId="63" xfId="0" applyFill="1" applyBorder="1" applyAlignment="1">
      <alignment horizontal="center" vertical="center"/>
    </xf>
    <xf numFmtId="0" fontId="0" fillId="10" borderId="37" xfId="0" applyNumberFormat="1" applyFill="1" applyBorder="1" applyAlignment="1">
      <alignment horizontal="center" vertical="center"/>
    </xf>
    <xf numFmtId="0" fontId="0" fillId="10" borderId="27" xfId="0" applyNumberFormat="1" applyFill="1" applyBorder="1" applyAlignment="1">
      <alignment horizontal="center" vertical="center"/>
    </xf>
    <xf numFmtId="0" fontId="16" fillId="10" borderId="66" xfId="0" applyFont="1" applyFill="1" applyBorder="1" applyAlignment="1">
      <alignment horizontal="center" vertical="center"/>
    </xf>
    <xf numFmtId="0" fontId="16" fillId="10" borderId="21" xfId="0" applyFont="1" applyFill="1" applyBorder="1" applyAlignment="1">
      <alignment horizontal="center" vertical="center"/>
    </xf>
    <xf numFmtId="0" fontId="16" fillId="10" borderId="33" xfId="0" applyFont="1" applyFill="1" applyBorder="1" applyAlignment="1">
      <alignment horizontal="center" vertical="center"/>
    </xf>
    <xf numFmtId="0" fontId="12" fillId="5" borderId="52" xfId="0" applyFont="1" applyFill="1" applyBorder="1" applyAlignment="1">
      <alignment horizontal="center" vertical="center"/>
    </xf>
    <xf numFmtId="0" fontId="13" fillId="5" borderId="64" xfId="0" applyFont="1" applyFill="1" applyBorder="1" applyAlignment="1">
      <alignment horizontal="center" vertical="center"/>
    </xf>
    <xf numFmtId="0" fontId="13" fillId="5" borderId="82" xfId="0" applyFont="1" applyFill="1" applyBorder="1" applyAlignment="1">
      <alignment horizontal="center" vertical="center"/>
    </xf>
    <xf numFmtId="0" fontId="0" fillId="3" borderId="105" xfId="0" applyFill="1" applyBorder="1" applyAlignment="1">
      <alignment horizontal="left" vertical="center"/>
    </xf>
    <xf numFmtId="0" fontId="0" fillId="3" borderId="47" xfId="0" applyFill="1" applyBorder="1" applyAlignment="1">
      <alignment horizontal="left" vertical="center"/>
    </xf>
    <xf numFmtId="0" fontId="0" fillId="4" borderId="104" xfId="0" applyFill="1" applyBorder="1" applyAlignment="1">
      <alignment horizontal="left" vertical="center"/>
    </xf>
    <xf numFmtId="0" fontId="0" fillId="4" borderId="48" xfId="0" applyFill="1" applyBorder="1" applyAlignment="1">
      <alignment horizontal="left" vertical="center"/>
    </xf>
    <xf numFmtId="0" fontId="7" fillId="0" borderId="82" xfId="0" applyFont="1" applyBorder="1" applyAlignment="1">
      <alignment horizontal="center" vertical="center"/>
    </xf>
    <xf numFmtId="0" fontId="0" fillId="7" borderId="53" xfId="0" applyFill="1" applyBorder="1" applyAlignment="1">
      <alignment horizontal="center" vertical="center" wrapText="1"/>
    </xf>
    <xf numFmtId="0" fontId="0" fillId="7" borderId="20" xfId="0" applyFill="1" applyBorder="1" applyAlignment="1">
      <alignment horizontal="center" vertical="center" wrapText="1"/>
    </xf>
    <xf numFmtId="0" fontId="0" fillId="7" borderId="36" xfId="0" applyFill="1" applyBorder="1" applyAlignment="1">
      <alignment horizontal="center" vertical="center" wrapText="1"/>
    </xf>
    <xf numFmtId="0" fontId="0" fillId="10" borderId="4" xfId="0" applyFill="1" applyBorder="1" applyAlignment="1">
      <alignment horizontal="right" vertical="center"/>
    </xf>
    <xf numFmtId="0" fontId="0" fillId="10" borderId="9" xfId="0" applyFill="1" applyBorder="1" applyAlignment="1">
      <alignment horizontal="right" vertical="center"/>
    </xf>
    <xf numFmtId="0" fontId="0" fillId="3" borderId="1" xfId="0" applyFill="1" applyBorder="1" applyAlignment="1">
      <alignment vertical="center"/>
    </xf>
    <xf numFmtId="0" fontId="0" fillId="3" borderId="4" xfId="0" applyFill="1" applyBorder="1" applyAlignment="1">
      <alignment vertical="center"/>
    </xf>
    <xf numFmtId="0" fontId="0" fillId="6" borderId="104" xfId="0" applyFill="1" applyBorder="1" applyAlignment="1">
      <alignment horizontal="left" vertical="center"/>
    </xf>
    <xf numFmtId="0" fontId="0" fillId="6" borderId="48" xfId="0" applyFill="1" applyBorder="1" applyAlignment="1">
      <alignment horizontal="left" vertical="center"/>
    </xf>
    <xf numFmtId="0" fontId="7" fillId="5" borderId="53" xfId="0" applyFont="1" applyFill="1" applyBorder="1" applyAlignment="1">
      <alignment horizontal="center" vertical="center"/>
    </xf>
    <xf numFmtId="0" fontId="7" fillId="5" borderId="41" xfId="0" applyFont="1" applyFill="1" applyBorder="1" applyAlignment="1">
      <alignment horizontal="center" vertical="center"/>
    </xf>
    <xf numFmtId="0" fontId="0" fillId="0" borderId="105" xfId="0" applyFont="1" applyFill="1" applyBorder="1" applyAlignment="1">
      <alignment vertical="center"/>
    </xf>
    <xf numFmtId="0" fontId="0" fillId="0" borderId="22" xfId="0" applyFont="1" applyFill="1" applyBorder="1" applyAlignment="1">
      <alignment vertical="center"/>
    </xf>
    <xf numFmtId="0" fontId="8" fillId="8" borderId="21" xfId="0" applyFont="1" applyFill="1" applyBorder="1" applyAlignment="1">
      <alignment horizontal="left" vertical="center"/>
    </xf>
    <xf numFmtId="0" fontId="8" fillId="8" borderId="0" xfId="0" applyFont="1" applyFill="1" applyBorder="1" applyAlignment="1">
      <alignment horizontal="left" vertical="center"/>
    </xf>
    <xf numFmtId="0" fontId="8" fillId="8" borderId="49" xfId="0" applyFont="1" applyFill="1" applyBorder="1" applyAlignment="1">
      <alignment horizontal="left" vertical="center"/>
    </xf>
    <xf numFmtId="0" fontId="0" fillId="7" borderId="137" xfId="0" applyFill="1" applyBorder="1" applyAlignment="1">
      <alignment horizontal="left" vertical="center"/>
    </xf>
    <xf numFmtId="0" fontId="0" fillId="7" borderId="46" xfId="0" applyFill="1" applyBorder="1" applyAlignment="1">
      <alignment horizontal="left" vertical="center"/>
    </xf>
    <xf numFmtId="0" fontId="0" fillId="4" borderId="7" xfId="0" applyFill="1" applyBorder="1" applyAlignment="1">
      <alignment vertical="center"/>
    </xf>
    <xf numFmtId="0" fontId="0" fillId="4" borderId="9" xfId="0" applyFill="1" applyBorder="1" applyAlignment="1">
      <alignment vertical="center"/>
    </xf>
    <xf numFmtId="0" fontId="7" fillId="8" borderId="52" xfId="0" applyFont="1" applyFill="1" applyBorder="1" applyAlignment="1">
      <alignment horizontal="center" vertical="center"/>
    </xf>
    <xf numFmtId="0" fontId="7" fillId="8" borderId="64" xfId="0" applyFont="1" applyFill="1" applyBorder="1" applyAlignment="1">
      <alignment horizontal="center" vertical="center"/>
    </xf>
    <xf numFmtId="0" fontId="0" fillId="6" borderId="9" xfId="0" applyFill="1" applyBorder="1" applyAlignment="1">
      <alignment vertical="center"/>
    </xf>
    <xf numFmtId="0" fontId="0" fillId="7" borderId="13" xfId="0" applyFill="1" applyBorder="1" applyAlignment="1">
      <alignment vertical="center"/>
    </xf>
    <xf numFmtId="0" fontId="0" fillId="7" borderId="15" xfId="0" applyFill="1" applyBorder="1" applyAlignment="1">
      <alignment vertical="center"/>
    </xf>
    <xf numFmtId="0" fontId="0" fillId="7" borderId="20" xfId="0" applyFill="1" applyBorder="1" applyAlignment="1">
      <alignment horizontal="center" vertical="center" wrapText="1" shrinkToFit="1"/>
    </xf>
    <xf numFmtId="0" fontId="0" fillId="7" borderId="36" xfId="0" applyFill="1" applyBorder="1" applyAlignment="1">
      <alignment horizontal="center" vertical="center" wrapText="1" shrinkToFit="1"/>
    </xf>
    <xf numFmtId="0" fontId="16" fillId="10" borderId="22" xfId="0" applyFont="1" applyFill="1" applyBorder="1" applyAlignment="1">
      <alignment horizontal="center" vertical="center"/>
    </xf>
    <xf numFmtId="0" fontId="16" fillId="10" borderId="31"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6" fillId="10" borderId="68" xfId="0" applyFont="1" applyFill="1" applyBorder="1" applyAlignment="1">
      <alignment horizontal="center" vertical="center"/>
    </xf>
    <xf numFmtId="0" fontId="0" fillId="8" borderId="21" xfId="0" applyFont="1" applyFill="1" applyBorder="1" applyAlignment="1">
      <alignment horizontal="center" vertical="center"/>
    </xf>
    <xf numFmtId="0" fontId="0" fillId="8" borderId="0" xfId="0" applyFont="1" applyFill="1" applyBorder="1" applyAlignment="1">
      <alignment horizontal="center" vertical="center"/>
    </xf>
    <xf numFmtId="0" fontId="0" fillId="8" borderId="49"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50" xfId="0" applyFont="1" applyFill="1" applyBorder="1" applyAlignment="1">
      <alignment horizontal="center" vertical="center"/>
    </xf>
    <xf numFmtId="0" fontId="0" fillId="8" borderId="51" xfId="0" applyFont="1" applyFill="1" applyBorder="1" applyAlignment="1">
      <alignment horizontal="center" vertical="center"/>
    </xf>
    <xf numFmtId="178" fontId="0" fillId="10" borderId="4" xfId="0" applyNumberFormat="1" applyFont="1" applyFill="1" applyBorder="1" applyAlignment="1">
      <alignment vertical="center"/>
    </xf>
    <xf numFmtId="0" fontId="0" fillId="10" borderId="9" xfId="0" applyFont="1" applyFill="1" applyBorder="1" applyAlignment="1">
      <alignment vertical="center"/>
    </xf>
    <xf numFmtId="0" fontId="0" fillId="10" borderId="15" xfId="0" applyFont="1" applyFill="1" applyBorder="1" applyAlignment="1">
      <alignment vertical="center"/>
    </xf>
    <xf numFmtId="0" fontId="0" fillId="4" borderId="10"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13" xfId="0" applyFont="1" applyFill="1" applyBorder="1" applyAlignment="1">
      <alignment horizontal="center" vertical="center"/>
    </xf>
    <xf numFmtId="0" fontId="16" fillId="10" borderId="1" xfId="0" applyFont="1" applyFill="1" applyBorder="1" applyAlignment="1">
      <alignment horizontal="center" vertical="center"/>
    </xf>
    <xf numFmtId="0" fontId="16" fillId="10" borderId="7" xfId="0" applyFont="1" applyFill="1" applyBorder="1" applyAlignment="1">
      <alignment horizontal="center" vertical="center"/>
    </xf>
    <xf numFmtId="0" fontId="16" fillId="10" borderId="13" xfId="0" applyFont="1" applyFill="1" applyBorder="1" applyAlignment="1">
      <alignment horizontal="center" vertical="center"/>
    </xf>
    <xf numFmtId="0" fontId="0" fillId="10" borderId="15" xfId="0" applyFill="1" applyBorder="1" applyAlignment="1">
      <alignment horizontal="right" vertical="center"/>
    </xf>
    <xf numFmtId="0" fontId="16" fillId="10" borderId="105" xfId="0" applyFont="1" applyFill="1" applyBorder="1" applyAlignment="1">
      <alignment horizontal="center" vertical="center"/>
    </xf>
    <xf numFmtId="0" fontId="16" fillId="10" borderId="104" xfId="0" applyFont="1" applyFill="1" applyBorder="1" applyAlignment="1">
      <alignment horizontal="center" vertical="center"/>
    </xf>
    <xf numFmtId="0" fontId="0" fillId="10" borderId="108" xfId="0" applyFill="1" applyBorder="1" applyAlignment="1">
      <alignment vertical="center"/>
    </xf>
    <xf numFmtId="0" fontId="0" fillId="10" borderId="78" xfId="0" applyFill="1" applyBorder="1" applyAlignment="1">
      <alignmen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178" fontId="0" fillId="10" borderId="37" xfId="0" applyNumberFormat="1" applyFill="1" applyBorder="1" applyAlignment="1">
      <alignment horizontal="center" vertical="center"/>
    </xf>
    <xf numFmtId="178" fontId="0" fillId="10" borderId="27" xfId="0" applyNumberFormat="1" applyFill="1" applyBorder="1" applyAlignment="1">
      <alignment horizontal="center" vertical="center"/>
    </xf>
    <xf numFmtId="0" fontId="0" fillId="0" borderId="17" xfId="0" applyBorder="1" applyAlignment="1">
      <alignment horizontal="center" vertical="center"/>
    </xf>
    <xf numFmtId="176" fontId="7" fillId="9" borderId="18" xfId="0" applyNumberFormat="1" applyFont="1" applyFill="1" applyBorder="1" applyAlignment="1">
      <alignment vertical="center"/>
    </xf>
    <xf numFmtId="176" fontId="7" fillId="9" borderId="28" xfId="0" applyNumberFormat="1" applyFont="1" applyFill="1" applyBorder="1" applyAlignment="1">
      <alignment vertical="center"/>
    </xf>
    <xf numFmtId="0" fontId="16" fillId="4" borderId="10" xfId="0" applyFont="1" applyFill="1" applyBorder="1" applyAlignment="1">
      <alignment horizontal="center" vertical="center"/>
    </xf>
    <xf numFmtId="0" fontId="0" fillId="10" borderId="21" xfId="0" applyFill="1" applyBorder="1" applyAlignment="1">
      <alignment horizontal="center" vertical="center"/>
    </xf>
    <xf numFmtId="0" fontId="0" fillId="10" borderId="18" xfId="0" applyNumberFormat="1" applyFill="1" applyBorder="1" applyAlignment="1">
      <alignment horizontal="center" vertical="center"/>
    </xf>
    <xf numFmtId="0" fontId="0" fillId="10" borderId="28" xfId="0" applyNumberFormat="1" applyFill="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8" fillId="0" borderId="53" xfId="0" applyFont="1" applyBorder="1" applyAlignment="1">
      <alignment horizontal="left" vertical="center"/>
    </xf>
    <xf numFmtId="0" fontId="8" fillId="0" borderId="62" xfId="0" applyFont="1" applyBorder="1" applyAlignment="1">
      <alignment horizontal="left" vertical="center"/>
    </xf>
    <xf numFmtId="0" fontId="8" fillId="0" borderId="41" xfId="0" applyFont="1" applyBorder="1" applyAlignment="1">
      <alignment horizontal="left" vertical="center"/>
    </xf>
    <xf numFmtId="0" fontId="0" fillId="10" borderId="12" xfId="0" applyFill="1" applyBorder="1" applyAlignment="1">
      <alignment horizontal="right" vertical="center"/>
    </xf>
    <xf numFmtId="0" fontId="8" fillId="10" borderId="52" xfId="0" applyFont="1" applyFill="1" applyBorder="1" applyAlignment="1">
      <alignment horizontal="center" vertical="center"/>
    </xf>
    <xf numFmtId="0" fontId="8" fillId="10" borderId="64" xfId="0" applyFont="1" applyFill="1" applyBorder="1" applyAlignment="1">
      <alignment horizontal="center" vertical="center"/>
    </xf>
    <xf numFmtId="0" fontId="8" fillId="10" borderId="63" xfId="0" applyFont="1" applyFill="1" applyBorder="1" applyAlignment="1">
      <alignment horizontal="center" vertical="center"/>
    </xf>
    <xf numFmtId="0" fontId="8" fillId="8" borderId="104" xfId="0" applyFont="1" applyFill="1" applyBorder="1" applyAlignment="1">
      <alignment vertical="center"/>
    </xf>
    <xf numFmtId="0" fontId="8" fillId="8" borderId="92" xfId="0" applyFont="1" applyFill="1" applyBorder="1" applyAlignment="1">
      <alignment vertical="center"/>
    </xf>
    <xf numFmtId="0" fontId="8" fillId="8" borderId="48" xfId="0" applyFont="1" applyFill="1" applyBorder="1" applyAlignment="1">
      <alignment vertical="center"/>
    </xf>
    <xf numFmtId="0" fontId="0" fillId="0" borderId="1" xfId="0" applyNumberFormat="1" applyFill="1" applyBorder="1" applyAlignment="1">
      <alignment horizontal="center" vertical="center"/>
    </xf>
    <xf numFmtId="0" fontId="0" fillId="0" borderId="7" xfId="0" applyNumberFormat="1" applyFill="1" applyBorder="1" applyAlignment="1">
      <alignment horizontal="center" vertical="center"/>
    </xf>
    <xf numFmtId="0" fontId="0" fillId="0" borderId="5" xfId="0" applyNumberFormat="1" applyFill="1" applyBorder="1" applyAlignment="1">
      <alignment horizontal="center" vertical="center"/>
    </xf>
    <xf numFmtId="0" fontId="0" fillId="0" borderId="13" xfId="0" applyNumberFormat="1" applyFill="1" applyBorder="1" applyAlignment="1">
      <alignment horizontal="center" vertical="center"/>
    </xf>
    <xf numFmtId="0" fontId="0" fillId="8" borderId="52" xfId="0" applyFill="1" applyBorder="1" applyAlignment="1">
      <alignment horizontal="center" vertical="center"/>
    </xf>
    <xf numFmtId="0" fontId="0" fillId="8" borderId="64" xfId="0" applyFill="1" applyBorder="1" applyAlignment="1">
      <alignment horizontal="center" vertical="center"/>
    </xf>
    <xf numFmtId="0" fontId="0" fillId="8" borderId="82" xfId="0" applyFill="1" applyBorder="1" applyAlignment="1">
      <alignment horizontal="center" vertical="center"/>
    </xf>
    <xf numFmtId="0" fontId="0" fillId="10" borderId="39" xfId="0" applyFill="1" applyBorder="1" applyAlignment="1">
      <alignment horizontal="right" vertical="center"/>
    </xf>
    <xf numFmtId="0" fontId="16" fillId="10" borderId="38" xfId="0" applyFont="1" applyFill="1" applyBorder="1" applyAlignment="1">
      <alignment horizontal="center" vertical="center"/>
    </xf>
    <xf numFmtId="178" fontId="0" fillId="8" borderId="52" xfId="0" applyNumberFormat="1" applyFill="1" applyBorder="1" applyAlignment="1">
      <alignment horizontal="center" vertical="center"/>
    </xf>
    <xf numFmtId="178" fontId="0" fillId="8" borderId="64" xfId="0" applyNumberFormat="1" applyFill="1" applyBorder="1" applyAlignment="1">
      <alignment horizontal="center" vertical="center"/>
    </xf>
    <xf numFmtId="178" fontId="0" fillId="8" borderId="82" xfId="0" applyNumberFormat="1" applyFill="1" applyBorder="1" applyAlignment="1">
      <alignment horizontal="center" vertical="center"/>
    </xf>
    <xf numFmtId="178" fontId="0" fillId="0" borderId="52" xfId="0" applyNumberFormat="1" applyFill="1" applyBorder="1" applyAlignment="1">
      <alignment horizontal="right" vertical="center"/>
    </xf>
    <xf numFmtId="178" fontId="0" fillId="0" borderId="63" xfId="0" applyNumberFormat="1" applyFill="1" applyBorder="1" applyAlignment="1">
      <alignment horizontal="right" vertical="center"/>
    </xf>
    <xf numFmtId="0" fontId="0" fillId="0" borderId="18" xfId="0" applyFont="1" applyBorder="1" applyAlignment="1">
      <alignment vertical="center"/>
    </xf>
    <xf numFmtId="0" fontId="0" fillId="0" borderId="17" xfId="0" applyFont="1" applyBorder="1" applyAlignment="1">
      <alignment vertical="center"/>
    </xf>
    <xf numFmtId="0" fontId="0" fillId="0" borderId="28" xfId="0" applyFont="1" applyBorder="1" applyAlignment="1">
      <alignment vertical="center"/>
    </xf>
    <xf numFmtId="178" fontId="0" fillId="0" borderId="26" xfId="0" applyNumberFormat="1" applyFill="1" applyBorder="1" applyAlignment="1">
      <alignment horizontal="right" vertical="center"/>
    </xf>
    <xf numFmtId="178" fontId="0" fillId="8" borderId="16" xfId="0" applyNumberFormat="1" applyFill="1" applyBorder="1" applyAlignment="1">
      <alignment horizontal="center" vertical="center"/>
    </xf>
    <xf numFmtId="178" fontId="0" fillId="8" borderId="18" xfId="0" applyNumberFormat="1" applyFill="1" applyBorder="1" applyAlignment="1">
      <alignment horizontal="center" vertical="center"/>
    </xf>
    <xf numFmtId="0" fontId="16" fillId="10" borderId="29" xfId="0" applyFont="1" applyFill="1" applyBorder="1" applyAlignment="1">
      <alignment horizontal="center" vertical="center"/>
    </xf>
    <xf numFmtId="0" fontId="0" fillId="8" borderId="50" xfId="0" applyFill="1" applyBorder="1" applyAlignment="1">
      <alignment horizontal="center" vertical="center"/>
    </xf>
    <xf numFmtId="0" fontId="0" fillId="2" borderId="39" xfId="0" applyFont="1" applyFill="1" applyBorder="1" applyAlignment="1" applyProtection="1">
      <alignment vertical="center"/>
      <protection locked="0"/>
    </xf>
    <xf numFmtId="0" fontId="0" fillId="2" borderId="27" xfId="0" applyFont="1" applyFill="1" applyBorder="1" applyAlignment="1" applyProtection="1">
      <alignment vertical="center"/>
      <protection locked="0"/>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0" fillId="10" borderId="53" xfId="0" applyFill="1" applyBorder="1" applyAlignment="1">
      <alignment horizontal="center" vertical="center"/>
    </xf>
    <xf numFmtId="176" fontId="7" fillId="9" borderId="22" xfId="0" applyNumberFormat="1" applyFont="1" applyFill="1" applyBorder="1" applyAlignment="1">
      <alignment vertical="center"/>
    </xf>
    <xf numFmtId="176" fontId="7" fillId="9" borderId="3" xfId="0" applyNumberFormat="1" applyFont="1" applyFill="1" applyBorder="1" applyAlignment="1">
      <alignment vertical="center"/>
    </xf>
    <xf numFmtId="176" fontId="7" fillId="9" borderId="4" xfId="0" applyNumberFormat="1" applyFont="1" applyFill="1" applyBorder="1" applyAlignment="1">
      <alignment vertical="center"/>
    </xf>
    <xf numFmtId="176" fontId="7" fillId="9" borderId="31" xfId="0" applyNumberFormat="1" applyFont="1" applyFill="1" applyBorder="1" applyAlignment="1">
      <alignment vertical="center"/>
    </xf>
    <xf numFmtId="176" fontId="7" fillId="9" borderId="8" xfId="0" applyNumberFormat="1" applyFont="1" applyFill="1" applyBorder="1" applyAlignment="1">
      <alignment vertical="center"/>
    </xf>
    <xf numFmtId="176" fontId="7" fillId="9" borderId="9" xfId="0" applyNumberFormat="1" applyFont="1" applyFill="1" applyBorder="1" applyAlignment="1">
      <alignment vertical="center"/>
    </xf>
    <xf numFmtId="176" fontId="7" fillId="9" borderId="68" xfId="0" applyNumberFormat="1" applyFont="1" applyFill="1" applyBorder="1" applyAlignment="1">
      <alignment vertical="center"/>
    </xf>
    <xf numFmtId="176" fontId="7" fillId="9" borderId="14" xfId="0" applyNumberFormat="1" applyFont="1" applyFill="1" applyBorder="1" applyAlignment="1">
      <alignment vertical="center"/>
    </xf>
    <xf numFmtId="176" fontId="7" fillId="9" borderId="15" xfId="0" applyNumberFormat="1" applyFont="1" applyFill="1" applyBorder="1" applyAlignment="1">
      <alignment vertical="center"/>
    </xf>
    <xf numFmtId="0" fontId="0" fillId="4" borderId="66" xfId="0" applyFill="1" applyBorder="1" applyAlignment="1">
      <alignment horizontal="center" vertical="center"/>
    </xf>
    <xf numFmtId="0" fontId="0" fillId="4" borderId="21" xfId="0" applyFill="1" applyBorder="1" applyAlignment="1">
      <alignment horizontal="center" vertical="center"/>
    </xf>
    <xf numFmtId="176" fontId="7" fillId="9" borderId="17" xfId="0" applyNumberFormat="1" applyFont="1" applyFill="1" applyBorder="1" applyAlignment="1">
      <alignment horizontal="right" vertical="center"/>
    </xf>
    <xf numFmtId="176" fontId="7" fillId="9" borderId="66" xfId="0" applyNumberFormat="1" applyFont="1" applyFill="1" applyBorder="1" applyAlignment="1">
      <alignment vertical="center"/>
    </xf>
    <xf numFmtId="176" fontId="7" fillId="9" borderId="21" xfId="0" applyNumberFormat="1" applyFont="1" applyFill="1" applyBorder="1" applyAlignment="1">
      <alignment vertical="center"/>
    </xf>
    <xf numFmtId="176" fontId="7" fillId="9" borderId="33" xfId="0" applyNumberFormat="1" applyFont="1" applyFill="1" applyBorder="1" applyAlignment="1">
      <alignment vertical="center"/>
    </xf>
    <xf numFmtId="9" fontId="0" fillId="0" borderId="69" xfId="0" applyNumberFormat="1" applyBorder="1" applyAlignment="1">
      <alignment horizontal="center" vertical="center"/>
    </xf>
    <xf numFmtId="9" fontId="0" fillId="0" borderId="67" xfId="0" applyNumberFormat="1" applyBorder="1" applyAlignment="1">
      <alignment horizontal="center" vertical="center"/>
    </xf>
    <xf numFmtId="9" fontId="0" fillId="0" borderId="50" xfId="0" applyNumberFormat="1" applyBorder="1" applyAlignment="1">
      <alignment horizontal="center" vertical="center"/>
    </xf>
    <xf numFmtId="9" fontId="0" fillId="0" borderId="51" xfId="0" applyNumberFormat="1" applyBorder="1" applyAlignment="1">
      <alignment horizontal="center" vertical="center"/>
    </xf>
    <xf numFmtId="0" fontId="0" fillId="0" borderId="66" xfId="0" applyFont="1" applyBorder="1" applyAlignment="1">
      <alignment horizontal="right" vertical="center"/>
    </xf>
    <xf numFmtId="0" fontId="0" fillId="0" borderId="82" xfId="0" applyFont="1" applyBorder="1" applyAlignment="1">
      <alignment horizontal="right" vertical="center"/>
    </xf>
    <xf numFmtId="0" fontId="0" fillId="0" borderId="11" xfId="0" applyBorder="1" applyAlignment="1">
      <alignment horizontal="center" vertical="center"/>
    </xf>
    <xf numFmtId="0" fontId="0" fillId="0" borderId="130" xfId="0" applyFont="1" applyBorder="1" applyAlignment="1">
      <alignment horizontal="right" vertical="center"/>
    </xf>
    <xf numFmtId="178" fontId="0" fillId="8" borderId="11" xfId="0" applyNumberFormat="1" applyFill="1" applyBorder="1" applyAlignment="1">
      <alignment horizontal="center" vertical="center"/>
    </xf>
    <xf numFmtId="178" fontId="0" fillId="8" borderId="44" xfId="0" applyNumberFormat="1" applyFill="1" applyBorder="1" applyAlignment="1">
      <alignment horizontal="center" vertical="center"/>
    </xf>
    <xf numFmtId="0" fontId="0" fillId="0" borderId="37" xfId="0" applyBorder="1" applyAlignment="1">
      <alignment horizontal="center" vertical="center"/>
    </xf>
    <xf numFmtId="0" fontId="0" fillId="0" borderId="27" xfId="0" applyBorder="1" applyAlignment="1">
      <alignment horizontal="center" vertical="center"/>
    </xf>
    <xf numFmtId="0" fontId="7" fillId="0" borderId="66" xfId="0" applyFont="1" applyFill="1" applyBorder="1" applyAlignment="1">
      <alignment horizontal="center" vertical="center"/>
    </xf>
    <xf numFmtId="0" fontId="7" fillId="0" borderId="69" xfId="0" applyFont="1" applyFill="1" applyBorder="1" applyAlignment="1">
      <alignment horizontal="center" vertical="center"/>
    </xf>
    <xf numFmtId="0" fontId="7" fillId="0" borderId="67" xfId="0" applyFont="1" applyFill="1" applyBorder="1" applyAlignment="1">
      <alignment horizontal="center" vertical="center"/>
    </xf>
    <xf numFmtId="176" fontId="7" fillId="9" borderId="33" xfId="0" applyNumberFormat="1" applyFont="1" applyFill="1" applyBorder="1" applyAlignment="1">
      <alignment horizontal="center" vertical="center"/>
    </xf>
    <xf numFmtId="176" fontId="7" fillId="9" borderId="51" xfId="0" applyNumberFormat="1" applyFont="1" applyFill="1" applyBorder="1" applyAlignment="1">
      <alignment horizontal="center" vertical="center"/>
    </xf>
    <xf numFmtId="0" fontId="0" fillId="0" borderId="43" xfId="0" applyBorder="1" applyAlignment="1">
      <alignment horizontal="center" vertical="center"/>
    </xf>
    <xf numFmtId="0" fontId="0" fillId="10" borderId="66" xfId="0" applyFill="1" applyBorder="1" applyAlignment="1">
      <alignment horizontal="center" vertical="center"/>
    </xf>
    <xf numFmtId="176" fontId="7" fillId="9" borderId="51" xfId="0" applyNumberFormat="1" applyFont="1" applyFill="1" applyBorder="1" applyAlignment="1">
      <alignment horizontal="right" vertical="center"/>
    </xf>
    <xf numFmtId="0" fontId="0" fillId="0" borderId="10" xfId="0" applyNumberFormat="1" applyBorder="1" applyAlignment="1">
      <alignment horizontal="center" vertical="center"/>
    </xf>
    <xf numFmtId="0" fontId="0" fillId="0" borderId="12" xfId="0" applyNumberFormat="1" applyBorder="1" applyAlignment="1">
      <alignment horizontal="center" vertical="center"/>
    </xf>
    <xf numFmtId="178" fontId="0" fillId="0" borderId="52" xfId="0" applyNumberFormat="1" applyBorder="1" applyAlignment="1">
      <alignment horizontal="right" vertical="center"/>
    </xf>
    <xf numFmtId="0" fontId="0" fillId="0" borderId="82" xfId="0" applyBorder="1" applyAlignment="1">
      <alignment vertical="center"/>
    </xf>
    <xf numFmtId="0" fontId="23" fillId="5" borderId="66" xfId="0" applyFont="1" applyFill="1" applyBorder="1" applyAlignment="1">
      <alignment horizontal="center" vertical="center"/>
    </xf>
    <xf numFmtId="0" fontId="23" fillId="5" borderId="69" xfId="0" applyFont="1" applyFill="1" applyBorder="1" applyAlignment="1">
      <alignment horizontal="center" vertical="center"/>
    </xf>
    <xf numFmtId="0" fontId="23" fillId="5" borderId="67" xfId="0" applyFont="1" applyFill="1" applyBorder="1" applyAlignment="1">
      <alignment horizontal="center" vertical="center"/>
    </xf>
    <xf numFmtId="0" fontId="23" fillId="5" borderId="33" xfId="0" applyFont="1" applyFill="1" applyBorder="1" applyAlignment="1">
      <alignment horizontal="center" vertical="center"/>
    </xf>
    <xf numFmtId="0" fontId="23" fillId="5" borderId="50" xfId="0" applyFont="1" applyFill="1" applyBorder="1" applyAlignment="1">
      <alignment horizontal="center" vertical="center"/>
    </xf>
    <xf numFmtId="0" fontId="23" fillId="5" borderId="51" xfId="0" applyFont="1" applyFill="1" applyBorder="1" applyAlignment="1">
      <alignment horizontal="center" vertical="center"/>
    </xf>
    <xf numFmtId="176" fontId="7" fillId="9" borderId="13" xfId="0" applyNumberFormat="1" applyFont="1" applyFill="1" applyBorder="1" applyAlignment="1">
      <alignment horizontal="right" vertical="center"/>
    </xf>
    <xf numFmtId="176" fontId="7" fillId="9" borderId="15" xfId="0" applyNumberFormat="1" applyFont="1" applyFill="1" applyBorder="1" applyAlignment="1">
      <alignment horizontal="right" vertical="center"/>
    </xf>
    <xf numFmtId="0" fontId="12" fillId="5" borderId="64" xfId="0" applyFont="1" applyFill="1" applyBorder="1" applyAlignment="1">
      <alignment horizontal="center" vertical="center"/>
    </xf>
    <xf numFmtId="0" fontId="12" fillId="5" borderId="82" xfId="0" applyFont="1" applyFill="1" applyBorder="1" applyAlignment="1">
      <alignment horizontal="center" vertical="center"/>
    </xf>
    <xf numFmtId="0" fontId="7" fillId="5" borderId="21" xfId="0" applyFont="1" applyFill="1" applyBorder="1" applyAlignment="1">
      <alignment horizontal="center" vertical="center"/>
    </xf>
    <xf numFmtId="0" fontId="7" fillId="5" borderId="49"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8" fillId="8" borderId="7" xfId="0" applyFont="1" applyFill="1" applyBorder="1" applyAlignment="1">
      <alignment horizontal="left" vertical="center"/>
    </xf>
    <xf numFmtId="0" fontId="8" fillId="8" borderId="31" xfId="0" applyFont="1" applyFill="1" applyBorder="1" applyAlignment="1">
      <alignment horizontal="left" vertical="center"/>
    </xf>
    <xf numFmtId="0" fontId="8" fillId="8" borderId="8" xfId="0" applyFont="1" applyFill="1" applyBorder="1" applyAlignment="1">
      <alignment horizontal="left" vertical="center"/>
    </xf>
    <xf numFmtId="0" fontId="8" fillId="8" borderId="9" xfId="0" applyFont="1" applyFill="1" applyBorder="1" applyAlignment="1">
      <alignment horizontal="left" vertical="center"/>
    </xf>
    <xf numFmtId="0" fontId="8" fillId="8" borderId="13" xfId="0" applyFont="1" applyFill="1" applyBorder="1" applyAlignment="1">
      <alignment horizontal="left" vertical="center"/>
    </xf>
    <xf numFmtId="0" fontId="8" fillId="8" borderId="68" xfId="0" applyFont="1" applyFill="1" applyBorder="1" applyAlignment="1">
      <alignment horizontal="left" vertical="center"/>
    </xf>
    <xf numFmtId="0" fontId="8" fillId="8" borderId="14" xfId="0" applyFont="1" applyFill="1" applyBorder="1" applyAlignment="1">
      <alignment horizontal="left" vertical="center"/>
    </xf>
    <xf numFmtId="0" fontId="8" fillId="8" borderId="15" xfId="0" applyFont="1" applyFill="1" applyBorder="1" applyAlignment="1">
      <alignment horizontal="left" vertical="center"/>
    </xf>
    <xf numFmtId="0" fontId="0" fillId="0" borderId="41" xfId="0" applyBorder="1" applyAlignment="1">
      <alignment horizontal="center" vertical="center"/>
    </xf>
    <xf numFmtId="0" fontId="8" fillId="8" borderId="1" xfId="0" applyFont="1" applyFill="1" applyBorder="1" applyAlignment="1">
      <alignment horizontal="left" vertical="center"/>
    </xf>
    <xf numFmtId="0" fontId="8" fillId="8" borderId="22" xfId="0" applyFont="1" applyFill="1" applyBorder="1" applyAlignment="1">
      <alignment horizontal="left" vertical="center"/>
    </xf>
    <xf numFmtId="0" fontId="8" fillId="8" borderId="3" xfId="0" applyFont="1" applyFill="1" applyBorder="1" applyAlignment="1">
      <alignment horizontal="left" vertical="center"/>
    </xf>
    <xf numFmtId="0" fontId="8" fillId="8" borderId="4" xfId="0" applyFont="1" applyFill="1" applyBorder="1" applyAlignment="1">
      <alignment horizontal="left" vertical="center"/>
    </xf>
    <xf numFmtId="0" fontId="0" fillId="8" borderId="49" xfId="0" applyFill="1" applyBorder="1" applyAlignment="1">
      <alignment horizontal="center" vertical="center"/>
    </xf>
    <xf numFmtId="0" fontId="0" fillId="8" borderId="130" xfId="0" applyFill="1" applyBorder="1" applyAlignment="1">
      <alignment horizontal="center" vertical="center"/>
    </xf>
    <xf numFmtId="0" fontId="0" fillId="8" borderId="81" xfId="0" applyFill="1" applyBorder="1" applyAlignment="1">
      <alignment horizontal="center" vertical="center"/>
    </xf>
    <xf numFmtId="0" fontId="0" fillId="8" borderId="26" xfId="0" applyFill="1" applyBorder="1" applyAlignment="1">
      <alignment horizontal="center" vertical="center"/>
    </xf>
    <xf numFmtId="176" fontId="7" fillId="9" borderId="43" xfId="0" applyNumberFormat="1" applyFont="1" applyFill="1" applyBorder="1" applyAlignment="1">
      <alignment horizontal="right" vertical="center"/>
    </xf>
    <xf numFmtId="0" fontId="0" fillId="10" borderId="8" xfId="0" applyNumberFormat="1" applyFill="1" applyBorder="1" applyAlignment="1">
      <alignment horizontal="center" vertical="center"/>
    </xf>
    <xf numFmtId="0" fontId="0" fillId="10" borderId="9" xfId="0" applyNumberFormat="1" applyFill="1" applyBorder="1" applyAlignment="1">
      <alignment horizontal="center" vertical="center"/>
    </xf>
    <xf numFmtId="178" fontId="0" fillId="10" borderId="17" xfId="0" applyNumberFormat="1" applyFill="1" applyBorder="1" applyAlignment="1">
      <alignment horizontal="center" vertical="center"/>
    </xf>
    <xf numFmtId="0" fontId="0" fillId="0" borderId="5" xfId="0" applyFont="1" applyBorder="1" applyAlignment="1">
      <alignment horizontal="center" vertical="center"/>
    </xf>
    <xf numFmtId="0" fontId="0" fillId="0" borderId="42" xfId="0" applyFont="1" applyBorder="1" applyAlignment="1">
      <alignment horizontal="center" vertical="center"/>
    </xf>
    <xf numFmtId="176" fontId="7" fillId="9" borderId="13" xfId="0" applyNumberFormat="1" applyFont="1" applyFill="1" applyBorder="1" applyAlignment="1">
      <alignment vertical="center"/>
    </xf>
    <xf numFmtId="0" fontId="7" fillId="5" borderId="33" xfId="0" applyFont="1" applyFill="1" applyBorder="1" applyAlignment="1">
      <alignment horizontal="center" vertical="center"/>
    </xf>
    <xf numFmtId="0" fontId="7" fillId="5" borderId="51" xfId="0" applyFont="1" applyFill="1" applyBorder="1" applyAlignment="1">
      <alignment horizontal="center" vertical="center"/>
    </xf>
    <xf numFmtId="176" fontId="7" fillId="9" borderId="36" xfId="0" applyNumberFormat="1" applyFont="1" applyFill="1" applyBorder="1" applyAlignment="1">
      <alignment vertical="center"/>
    </xf>
    <xf numFmtId="176" fontId="7" fillId="9" borderId="27" xfId="0" applyNumberFormat="1" applyFont="1" applyFill="1" applyBorder="1" applyAlignment="1">
      <alignment vertical="center"/>
    </xf>
    <xf numFmtId="0" fontId="0" fillId="8" borderId="66" xfId="0" applyFill="1" applyBorder="1" applyAlignment="1">
      <alignment vertical="center"/>
    </xf>
    <xf numFmtId="0" fontId="0" fillId="8" borderId="67" xfId="0" applyFill="1" applyBorder="1" applyAlignment="1">
      <alignment vertical="center"/>
    </xf>
    <xf numFmtId="0" fontId="0" fillId="0" borderId="92" xfId="0" applyNumberFormat="1" applyBorder="1" applyAlignment="1">
      <alignment vertical="center"/>
    </xf>
    <xf numFmtId="0" fontId="0" fillId="0" borderId="48" xfId="0" applyNumberFormat="1" applyBorder="1" applyAlignment="1">
      <alignment vertical="center"/>
    </xf>
    <xf numFmtId="0" fontId="7" fillId="0" borderId="21" xfId="0" applyFont="1" applyFill="1" applyBorder="1" applyAlignment="1">
      <alignment horizontal="center" vertical="center"/>
    </xf>
    <xf numFmtId="0" fontId="7" fillId="0" borderId="81" xfId="0" applyFont="1" applyFill="1" applyBorder="1" applyAlignment="1">
      <alignment horizontal="center" vertical="center"/>
    </xf>
    <xf numFmtId="0" fontId="7" fillId="0" borderId="131" xfId="0" applyFont="1" applyFill="1" applyBorder="1" applyAlignment="1">
      <alignment horizontal="center" vertical="center"/>
    </xf>
    <xf numFmtId="0" fontId="7" fillId="0" borderId="29" xfId="0" applyFont="1" applyFill="1" applyBorder="1" applyAlignment="1">
      <alignment horizontal="center" vertical="center"/>
    </xf>
    <xf numFmtId="0" fontId="7" fillId="2" borderId="12" xfId="0" applyFont="1" applyFill="1" applyBorder="1" applyAlignment="1" applyProtection="1">
      <alignment vertical="center"/>
      <protection locked="0"/>
    </xf>
    <xf numFmtId="0" fontId="7" fillId="2" borderId="9" xfId="0" applyFont="1" applyFill="1" applyBorder="1" applyAlignment="1" applyProtection="1">
      <alignment vertical="center"/>
      <protection locked="0"/>
    </xf>
    <xf numFmtId="0" fontId="0" fillId="10" borderId="41" xfId="0" applyFill="1" applyBorder="1" applyAlignment="1">
      <alignment vertical="center"/>
    </xf>
    <xf numFmtId="0" fontId="0" fillId="10" borderId="35" xfId="0" applyFill="1" applyBorder="1" applyAlignment="1">
      <alignment vertical="center"/>
    </xf>
    <xf numFmtId="0" fontId="0" fillId="10" borderId="27" xfId="0" applyFill="1" applyBorder="1" applyAlignment="1">
      <alignment vertical="center"/>
    </xf>
    <xf numFmtId="0" fontId="7" fillId="5" borderId="64" xfId="0" applyFont="1" applyFill="1" applyBorder="1" applyAlignment="1">
      <alignment horizontal="center" vertical="center" shrinkToFit="1"/>
    </xf>
    <xf numFmtId="0" fontId="7" fillId="5" borderId="82" xfId="0" applyFont="1" applyFill="1" applyBorder="1" applyAlignment="1">
      <alignment horizontal="center" vertical="center" shrinkToFit="1"/>
    </xf>
    <xf numFmtId="0" fontId="26" fillId="0" borderId="108" xfId="0" applyFont="1" applyBorder="1" applyAlignment="1">
      <alignment horizontal="center" vertical="center" textRotation="255"/>
    </xf>
    <xf numFmtId="0" fontId="0" fillId="0" borderId="65" xfId="0" applyBorder="1" applyAlignment="1">
      <alignment vertical="center"/>
    </xf>
    <xf numFmtId="0" fontId="0" fillId="0" borderId="100" xfId="0" applyBorder="1" applyAlignment="1">
      <alignment vertical="center"/>
    </xf>
    <xf numFmtId="0" fontId="0" fillId="5" borderId="64" xfId="0" applyFill="1" applyBorder="1" applyAlignment="1">
      <alignment vertical="center"/>
    </xf>
    <xf numFmtId="0" fontId="0" fillId="5" borderId="82" xfId="0" applyFill="1" applyBorder="1" applyAlignment="1">
      <alignment vertical="center"/>
    </xf>
    <xf numFmtId="0" fontId="16" fillId="4" borderId="37" xfId="0" applyFont="1" applyFill="1" applyBorder="1" applyAlignment="1">
      <alignment horizontal="center" vertical="center" wrapText="1"/>
    </xf>
    <xf numFmtId="0" fontId="0" fillId="10" borderId="35" xfId="0" applyFill="1" applyBorder="1" applyAlignment="1">
      <alignment horizontal="right" vertical="center"/>
    </xf>
    <xf numFmtId="0" fontId="0" fillId="0" borderId="68" xfId="0" applyBorder="1" applyAlignment="1">
      <alignment horizontal="center" vertical="center"/>
    </xf>
    <xf numFmtId="0" fontId="0" fillId="10" borderId="5" xfId="0" applyFill="1" applyBorder="1" applyAlignment="1">
      <alignment horizontal="center" vertical="center"/>
    </xf>
    <xf numFmtId="176" fontId="7" fillId="9" borderId="14" xfId="0" applyNumberFormat="1" applyFont="1" applyFill="1" applyBorder="1" applyAlignment="1">
      <alignment horizontal="right" vertical="center"/>
    </xf>
    <xf numFmtId="176" fontId="7" fillId="9" borderId="37" xfId="0" applyNumberFormat="1" applyFont="1" applyFill="1" applyBorder="1" applyAlignment="1">
      <alignment horizontal="right" vertical="center"/>
    </xf>
    <xf numFmtId="176" fontId="7" fillId="9" borderId="27" xfId="0" applyNumberFormat="1" applyFont="1" applyFill="1" applyBorder="1" applyAlignment="1">
      <alignment horizontal="right" vertical="center"/>
    </xf>
    <xf numFmtId="0" fontId="0" fillId="10" borderId="39" xfId="0" applyFill="1" applyBorder="1" applyAlignment="1">
      <alignment vertical="center"/>
    </xf>
    <xf numFmtId="0" fontId="0" fillId="8" borderId="53" xfId="0" applyFill="1" applyBorder="1" applyAlignment="1">
      <alignment horizontal="center" vertical="center"/>
    </xf>
    <xf numFmtId="0" fontId="0" fillId="8" borderId="20" xfId="0" applyFill="1" applyBorder="1" applyAlignment="1">
      <alignment horizontal="center" vertical="center"/>
    </xf>
    <xf numFmtId="0" fontId="0" fillId="8" borderId="36" xfId="0" applyFill="1" applyBorder="1" applyAlignment="1">
      <alignment horizontal="center" vertical="center"/>
    </xf>
    <xf numFmtId="0" fontId="26" fillId="0" borderId="65" xfId="0" applyFont="1" applyBorder="1" applyAlignment="1">
      <alignment horizontal="center" vertical="center" textRotation="255"/>
    </xf>
    <xf numFmtId="0" fontId="26" fillId="0" borderId="100" xfId="0" applyFont="1" applyBorder="1" applyAlignment="1">
      <alignment horizontal="center" vertical="center" textRotation="255"/>
    </xf>
    <xf numFmtId="0" fontId="0" fillId="8" borderId="63" xfId="0" applyFill="1" applyBorder="1" applyAlignment="1">
      <alignment horizontal="center" vertical="center"/>
    </xf>
    <xf numFmtId="0" fontId="0" fillId="0" borderId="137" xfId="0" applyBorder="1" applyAlignment="1">
      <alignment horizontal="center" vertical="center"/>
    </xf>
    <xf numFmtId="0" fontId="0" fillId="0" borderId="46" xfId="0" applyBorder="1" applyAlignment="1">
      <alignment horizontal="center" vertical="center"/>
    </xf>
    <xf numFmtId="0" fontId="0" fillId="0" borderId="104" xfId="0" applyFill="1" applyBorder="1" applyAlignment="1">
      <alignment vertical="center"/>
    </xf>
    <xf numFmtId="0" fontId="0" fillId="0" borderId="31" xfId="0" applyFill="1" applyBorder="1" applyAlignment="1">
      <alignment vertical="center"/>
    </xf>
    <xf numFmtId="0" fontId="0" fillId="0" borderId="105" xfId="0" applyFill="1" applyBorder="1" applyAlignment="1">
      <alignment vertical="center"/>
    </xf>
    <xf numFmtId="0" fontId="0" fillId="0" borderId="22" xfId="0" applyFill="1" applyBorder="1" applyAlignment="1">
      <alignment vertical="center"/>
    </xf>
    <xf numFmtId="0" fontId="0" fillId="0" borderId="36" xfId="0" applyFill="1" applyBorder="1" applyAlignment="1">
      <alignment horizontal="center" vertical="center"/>
    </xf>
    <xf numFmtId="0" fontId="16" fillId="4" borderId="22"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68" xfId="0" applyFont="1" applyFill="1" applyBorder="1" applyAlignment="1">
      <alignment horizontal="center" vertical="center"/>
    </xf>
    <xf numFmtId="0" fontId="0" fillId="0" borderId="21" xfId="0" applyFont="1" applyBorder="1" applyAlignment="1">
      <alignment horizontal="right" vertical="center"/>
    </xf>
    <xf numFmtId="0" fontId="0" fillId="0" borderId="81" xfId="0" applyFont="1" applyBorder="1" applyAlignment="1">
      <alignment horizontal="right" vertical="center"/>
    </xf>
    <xf numFmtId="0" fontId="0" fillId="0" borderId="69" xfId="0" applyFont="1" applyBorder="1" applyAlignment="1">
      <alignment horizontal="right" vertical="center"/>
    </xf>
    <xf numFmtId="0" fontId="8" fillId="0" borderId="52" xfId="0" applyFont="1" applyBorder="1" applyAlignment="1">
      <alignment horizontal="center" vertical="center"/>
    </xf>
    <xf numFmtId="0" fontId="8" fillId="0" borderId="82" xfId="0" applyFont="1" applyBorder="1" applyAlignment="1">
      <alignment horizontal="center" vertical="center"/>
    </xf>
    <xf numFmtId="49" fontId="0" fillId="8" borderId="33" xfId="0" applyNumberFormat="1" applyFill="1" applyBorder="1" applyAlignment="1">
      <alignment horizontal="center" vertical="center"/>
    </xf>
    <xf numFmtId="49" fontId="0" fillId="8" borderId="51" xfId="0" applyNumberFormat="1" applyFill="1" applyBorder="1" applyAlignment="1">
      <alignment horizontal="center" vertical="center"/>
    </xf>
    <xf numFmtId="0" fontId="0" fillId="0" borderId="52"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7" fillId="0" borderId="52" xfId="0" applyNumberFormat="1" applyFont="1" applyFill="1" applyBorder="1" applyAlignment="1">
      <alignment horizontal="center" vertical="center"/>
    </xf>
    <xf numFmtId="0" fontId="7" fillId="0" borderId="82" xfId="0" applyNumberFormat="1" applyFont="1" applyFill="1" applyBorder="1" applyAlignment="1">
      <alignment horizontal="center" vertical="center"/>
    </xf>
    <xf numFmtId="0" fontId="16" fillId="8" borderId="21" xfId="0" applyFont="1" applyFill="1" applyBorder="1" applyAlignment="1">
      <alignment horizontal="center" vertical="center"/>
    </xf>
    <xf numFmtId="0" fontId="16" fillId="8" borderId="0" xfId="0" applyFont="1" applyFill="1" applyBorder="1" applyAlignment="1">
      <alignment horizontal="center" vertical="center"/>
    </xf>
    <xf numFmtId="0" fontId="14" fillId="8" borderId="66" xfId="0" applyFont="1" applyFill="1" applyBorder="1" applyAlignment="1">
      <alignment horizontal="center" vertical="center"/>
    </xf>
    <xf numFmtId="0" fontId="14" fillId="8" borderId="69" xfId="0" applyFont="1" applyFill="1" applyBorder="1" applyAlignment="1">
      <alignment horizontal="center" vertical="center"/>
    </xf>
    <xf numFmtId="0" fontId="14" fillId="8" borderId="67" xfId="0" applyFont="1" applyFill="1" applyBorder="1" applyAlignment="1">
      <alignment horizontal="center" vertical="center"/>
    </xf>
    <xf numFmtId="0" fontId="17" fillId="8" borderId="66" xfId="0" applyFont="1" applyFill="1" applyBorder="1" applyAlignment="1">
      <alignment horizontal="center" vertical="center"/>
    </xf>
    <xf numFmtId="0" fontId="0" fillId="8" borderId="69" xfId="0" applyFill="1" applyBorder="1" applyAlignment="1">
      <alignment vertical="center"/>
    </xf>
    <xf numFmtId="0" fontId="0" fillId="8" borderId="67" xfId="0" applyFill="1" applyBorder="1" applyAlignment="1">
      <alignment vertical="center"/>
    </xf>
    <xf numFmtId="0" fontId="14" fillId="8" borderId="21" xfId="0" applyFont="1" applyFill="1" applyBorder="1" applyAlignment="1">
      <alignment horizontal="left" vertical="center" wrapText="1"/>
    </xf>
    <xf numFmtId="0" fontId="0" fillId="0" borderId="0" xfId="0" applyBorder="1" applyAlignment="1">
      <alignment vertical="center"/>
    </xf>
    <xf numFmtId="0" fontId="0" fillId="0" borderId="49" xfId="0" applyBorder="1" applyAlignment="1">
      <alignment vertical="center"/>
    </xf>
    <xf numFmtId="0" fontId="0" fillId="8" borderId="21" xfId="0" applyFont="1" applyFill="1" applyBorder="1" applyAlignment="1">
      <alignment horizontal="left" vertical="center" wrapText="1"/>
    </xf>
    <xf numFmtId="0" fontId="0" fillId="8" borderId="0" xfId="0" applyFont="1" applyFill="1" applyBorder="1" applyAlignment="1">
      <alignment horizontal="left" vertical="center" wrapText="1"/>
    </xf>
    <xf numFmtId="0" fontId="0" fillId="8" borderId="49" xfId="0" applyFont="1" applyFill="1" applyBorder="1" applyAlignment="1">
      <alignment horizontal="left" vertical="center" wrapText="1"/>
    </xf>
    <xf numFmtId="0" fontId="19" fillId="8" borderId="52" xfId="0" applyFont="1" applyFill="1" applyBorder="1" applyAlignment="1">
      <alignment horizontal="center" vertical="center"/>
    </xf>
    <xf numFmtId="0" fontId="19" fillId="8" borderId="64" xfId="0" applyFont="1" applyFill="1" applyBorder="1" applyAlignment="1">
      <alignment horizontal="center" vertical="center"/>
    </xf>
    <xf numFmtId="0" fontId="19" fillId="8" borderId="82" xfId="0" applyFont="1" applyFill="1" applyBorder="1" applyAlignment="1">
      <alignment horizontal="center" vertical="center"/>
    </xf>
    <xf numFmtId="0" fontId="16" fillId="8" borderId="52" xfId="0" applyFont="1" applyFill="1" applyBorder="1" applyAlignment="1">
      <alignment horizontal="center" vertical="center"/>
    </xf>
    <xf numFmtId="0" fontId="16" fillId="8" borderId="64" xfId="0" applyFont="1" applyFill="1" applyBorder="1" applyAlignment="1">
      <alignment horizontal="center" vertical="center"/>
    </xf>
    <xf numFmtId="0" fontId="16" fillId="8" borderId="82" xfId="0" applyFont="1" applyFill="1" applyBorder="1" applyAlignment="1">
      <alignment horizontal="center" vertical="center"/>
    </xf>
    <xf numFmtId="0" fontId="7" fillId="8" borderId="21" xfId="0" applyFont="1" applyFill="1" applyBorder="1" applyAlignment="1">
      <alignment horizontal="left" vertical="center"/>
    </xf>
    <xf numFmtId="0" fontId="7" fillId="8" borderId="0" xfId="0" applyFont="1" applyFill="1" applyBorder="1" applyAlignment="1">
      <alignment horizontal="left" vertical="center"/>
    </xf>
    <xf numFmtId="0" fontId="7" fillId="8" borderId="49" xfId="0" applyFont="1" applyFill="1" applyBorder="1" applyAlignment="1">
      <alignment horizontal="left" vertical="center"/>
    </xf>
    <xf numFmtId="0" fontId="0" fillId="8" borderId="21" xfId="0" applyFill="1" applyBorder="1" applyAlignment="1">
      <alignment horizontal="left" vertical="center"/>
    </xf>
    <xf numFmtId="0" fontId="0" fillId="8" borderId="0" xfId="0" applyFill="1" applyBorder="1" applyAlignment="1">
      <alignment horizontal="left" vertical="center"/>
    </xf>
    <xf numFmtId="0" fontId="0" fillId="8" borderId="49" xfId="0" applyFill="1" applyBorder="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mailto:f2d_10l@hotmail.com" TargetMode="External" /><Relationship Id="rId2" Type="http://schemas.openxmlformats.org/officeDocument/2006/relationships/hyperlink" Target="http://f2d10l.exblog.jp/7485878/" TargetMode="External" /><Relationship Id="rId3" Type="http://schemas.openxmlformats.org/officeDocument/2006/relationships/hyperlink" Target="http://f2d10l.exblog.jp/" TargetMode="External" /><Relationship Id="rId4"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106"/>
  <sheetViews>
    <sheetView workbookViewId="0" topLeftCell="A1">
      <selection activeCell="A1" sqref="A1"/>
    </sheetView>
  </sheetViews>
  <sheetFormatPr defaultColWidth="9.00390625" defaultRowHeight="13.5"/>
  <cols>
    <col min="1" max="1" width="2.625" style="0" customWidth="1"/>
    <col min="2" max="11" width="5.625" style="0" customWidth="1"/>
    <col min="12" max="13" width="2.625" style="0" customWidth="1"/>
    <col min="22" max="22" width="1.625" style="0" customWidth="1"/>
  </cols>
  <sheetData>
    <row r="1" spans="6:16" ht="24.75" customHeight="1" thickBot="1">
      <c r="F1" s="990" t="s">
        <v>68</v>
      </c>
      <c r="G1" s="990"/>
      <c r="H1" s="990"/>
      <c r="I1" s="990"/>
      <c r="J1" s="990"/>
      <c r="K1" s="990"/>
      <c r="L1" s="990"/>
      <c r="M1" s="990"/>
      <c r="N1" s="990"/>
      <c r="O1" s="990"/>
      <c r="P1" s="990"/>
    </row>
    <row r="2" spans="2:20" ht="14.25" thickBot="1">
      <c r="B2" s="1078" t="s">
        <v>37</v>
      </c>
      <c r="C2" s="1094"/>
      <c r="D2" s="2">
        <v>150</v>
      </c>
      <c r="E2" s="1"/>
      <c r="F2" s="3" t="s">
        <v>129</v>
      </c>
      <c r="G2" s="3" t="s">
        <v>38</v>
      </c>
      <c r="H2" s="3" t="s">
        <v>39</v>
      </c>
      <c r="I2" s="3" t="s">
        <v>1115</v>
      </c>
      <c r="J2" s="3" t="s">
        <v>1116</v>
      </c>
      <c r="K2" s="26" t="s">
        <v>430</v>
      </c>
      <c r="N2" s="991" t="str">
        <f>IF(B4="片手剣","攻撃力",IF(B4="両手剣","攻撃力",IF(B4="片手斧","攻撃力",IF(B4="両手斧","攻撃力","！武器の種類の入力エラー！"))))</f>
        <v>攻撃力</v>
      </c>
      <c r="O2" s="992"/>
      <c r="P2" s="987"/>
      <c r="R2" s="1101" t="s">
        <v>418</v>
      </c>
      <c r="S2" s="1102"/>
      <c r="T2" s="1103"/>
    </row>
    <row r="3" spans="2:20" ht="14.25" thickBot="1">
      <c r="B3" s="5" t="s">
        <v>40</v>
      </c>
      <c r="C3" s="569"/>
      <c r="D3" s="6">
        <f>((D2-1)*5+IF(D2&gt;=120,35,IF(D2&gt;=70,30,25)))-(G3+H3+I3+J3)</f>
        <v>0</v>
      </c>
      <c r="E3" s="7" t="s">
        <v>41</v>
      </c>
      <c r="F3" s="8"/>
      <c r="G3" s="8">
        <v>768</v>
      </c>
      <c r="H3" s="8">
        <v>4</v>
      </c>
      <c r="I3" s="8">
        <v>4</v>
      </c>
      <c r="J3" s="8">
        <v>4</v>
      </c>
      <c r="K3" s="9"/>
      <c r="N3" s="10" t="s">
        <v>69</v>
      </c>
      <c r="O3" s="11" t="s">
        <v>70</v>
      </c>
      <c r="P3" s="12" t="s">
        <v>71</v>
      </c>
      <c r="R3" s="1" t="s">
        <v>69</v>
      </c>
      <c r="S3" s="3" t="s">
        <v>70</v>
      </c>
      <c r="T3" s="4" t="s">
        <v>71</v>
      </c>
    </row>
    <row r="4" spans="2:20" ht="14.25" thickBot="1">
      <c r="B4" s="1097" t="s">
        <v>453</v>
      </c>
      <c r="C4" s="1098"/>
      <c r="D4" s="1098"/>
      <c r="E4" s="7" t="s">
        <v>42</v>
      </c>
      <c r="F4" s="8">
        <v>115</v>
      </c>
      <c r="G4" s="8">
        <v>11</v>
      </c>
      <c r="H4" s="8"/>
      <c r="I4" s="8"/>
      <c r="J4" s="8"/>
      <c r="K4" s="9"/>
      <c r="N4" s="14">
        <f>P4*S27</f>
        <v>5885.510399999999</v>
      </c>
      <c r="O4" s="15">
        <f>(P4+N4)/2</f>
        <v>7146.691199999999</v>
      </c>
      <c r="P4" s="16">
        <f>$Q$4*($F$28+INT(($F$28-$F$25)*$E$31)+INT($F$28*($K$41+$K$50-1)))/100</f>
        <v>8407.872</v>
      </c>
      <c r="Q4" s="421">
        <f>IF(OR($B$4="片手剣",$B$4="片手斧"),1.2,1.32)*(4*$G$28+$H$28)</f>
        <v>4777.2</v>
      </c>
      <c r="R4" s="14">
        <f>N4*$G$47*(1-$G$44/100)</f>
        <v>5002.683839999999</v>
      </c>
      <c r="S4" s="15">
        <f>O4*$G$47*(1-$G$44/100)</f>
        <v>6074.6875199999995</v>
      </c>
      <c r="T4" s="16">
        <f>P4*$G$47*(1-$G$44/100)</f>
        <v>7146.691199999999</v>
      </c>
    </row>
    <row r="5" spans="2:19" ht="14.25" thickBot="1">
      <c r="B5" s="17" t="s">
        <v>43</v>
      </c>
      <c r="C5" s="210"/>
      <c r="D5" s="18">
        <v>4</v>
      </c>
      <c r="E5" s="7" t="s">
        <v>44</v>
      </c>
      <c r="F5" s="8">
        <v>18</v>
      </c>
      <c r="G5" s="8">
        <v>9</v>
      </c>
      <c r="H5" s="8"/>
      <c r="I5" s="8"/>
      <c r="J5" s="8"/>
      <c r="K5" s="9"/>
      <c r="O5" s="421"/>
      <c r="S5" s="421"/>
    </row>
    <row r="6" spans="2:26" ht="14.25" thickBot="1">
      <c r="B6" s="300" t="s">
        <v>943</v>
      </c>
      <c r="C6" s="570"/>
      <c r="D6" s="2">
        <v>30</v>
      </c>
      <c r="E6" s="7" t="s">
        <v>45</v>
      </c>
      <c r="F6" s="8"/>
      <c r="G6" s="8">
        <v>10</v>
      </c>
      <c r="H6" s="8">
        <v>16</v>
      </c>
      <c r="I6" s="8">
        <v>10</v>
      </c>
      <c r="J6" s="8">
        <v>10</v>
      </c>
      <c r="K6" s="9">
        <v>22</v>
      </c>
      <c r="N6" s="977" t="s">
        <v>944</v>
      </c>
      <c r="O6" s="978"/>
      <c r="P6" s="978"/>
      <c r="Q6" s="978"/>
      <c r="R6" s="978"/>
      <c r="S6" s="979"/>
      <c r="T6" s="38" t="s">
        <v>43</v>
      </c>
      <c r="U6" s="26">
        <f>MAX($D$5-$K$37,4)</f>
        <v>4</v>
      </c>
      <c r="W6" s="1111" t="s">
        <v>265</v>
      </c>
      <c r="X6" s="1112"/>
      <c r="Y6" s="1112"/>
      <c r="Z6" s="1113"/>
    </row>
    <row r="7" spans="2:26" ht="14.25" thickBot="1">
      <c r="B7" s="1095" t="s">
        <v>578</v>
      </c>
      <c r="C7" s="1096"/>
      <c r="D7" s="515">
        <v>30</v>
      </c>
      <c r="E7" s="7" t="s">
        <v>46</v>
      </c>
      <c r="F7" s="8"/>
      <c r="G7" s="8"/>
      <c r="H7" s="8">
        <v>7</v>
      </c>
      <c r="I7" s="8"/>
      <c r="J7" s="8"/>
      <c r="K7" s="9"/>
      <c r="N7" s="1099" t="s">
        <v>391</v>
      </c>
      <c r="O7" s="1100"/>
      <c r="P7" s="167">
        <f>(D6*2+150)/100</f>
        <v>2.1</v>
      </c>
      <c r="Q7" s="1104" t="s">
        <v>392</v>
      </c>
      <c r="R7" s="1105"/>
      <c r="S7" s="648">
        <f>IF($X$8&gt;=25,$Y$20,IF($X$8&gt;=19,$Y$19,IF($X$8&gt;=13,$Y$18,IF($X$8&gt;=7,$Y$17,IF($X$8&gt;=1,$Y$16,$Y$15)))))*(1+B51)</f>
        <v>4.2</v>
      </c>
      <c r="T7" s="56" t="s">
        <v>66</v>
      </c>
      <c r="U7" s="57">
        <f>IF(U6=4,94,IF(U6=5,85,IF(U6=6,79,IF(U6=7,73,IF(U6=8,70,0)))))</f>
        <v>94</v>
      </c>
      <c r="W7" s="1117" t="s">
        <v>72</v>
      </c>
      <c r="X7" s="1118"/>
      <c r="Y7" s="25" t="s">
        <v>520</v>
      </c>
      <c r="Z7" s="165">
        <f>(5+ROUNDUP(X8/6,0))/100</f>
        <v>0.1</v>
      </c>
    </row>
    <row r="8" spans="2:26" ht="14.25" thickBot="1">
      <c r="B8" s="1071" t="s">
        <v>629</v>
      </c>
      <c r="C8" s="1072"/>
      <c r="D8" s="516">
        <v>30</v>
      </c>
      <c r="E8" s="7" t="s">
        <v>47</v>
      </c>
      <c r="F8" s="8">
        <v>2</v>
      </c>
      <c r="G8" s="8"/>
      <c r="H8" s="8">
        <v>2</v>
      </c>
      <c r="I8" s="8"/>
      <c r="J8" s="8"/>
      <c r="K8" s="9">
        <v>7</v>
      </c>
      <c r="N8" s="981" t="s">
        <v>112</v>
      </c>
      <c r="O8" s="3" t="s">
        <v>56</v>
      </c>
      <c r="P8" s="4">
        <f>MIN(INT($R$4*S7*IF(A22="true",(1+D22),1)*(1+$B$33+$E$33+$B$51)),ReadMe!$M$94)</f>
        <v>33618</v>
      </c>
      <c r="Q8" s="673"/>
      <c r="R8" s="174" t="s">
        <v>56</v>
      </c>
      <c r="S8" s="191">
        <f>MIN(INT(P8*$E$41),ReadMe!$M$94)</f>
        <v>40341</v>
      </c>
      <c r="T8" s="1108" t="s">
        <v>140</v>
      </c>
      <c r="U8" s="1090">
        <f>INT((P9*(1-$G$41))+(S9*$G$41))</f>
        <v>41589</v>
      </c>
      <c r="W8" s="27" t="s">
        <v>73</v>
      </c>
      <c r="X8" s="28">
        <f>D7</f>
        <v>30</v>
      </c>
      <c r="Y8" s="1127" t="s">
        <v>943</v>
      </c>
      <c r="Z8" s="1128"/>
    </row>
    <row r="9" spans="2:26" ht="14.25" thickBot="1">
      <c r="B9" s="237"/>
      <c r="C9" s="416"/>
      <c r="D9" s="238"/>
      <c r="E9" s="7" t="s">
        <v>48</v>
      </c>
      <c r="F9" s="8"/>
      <c r="G9" s="8">
        <v>7</v>
      </c>
      <c r="H9" s="8">
        <v>7</v>
      </c>
      <c r="I9" s="8">
        <v>7</v>
      </c>
      <c r="J9" s="8">
        <v>7</v>
      </c>
      <c r="K9" s="9"/>
      <c r="N9" s="982"/>
      <c r="O9" s="44" t="s">
        <v>57</v>
      </c>
      <c r="P9" s="45">
        <f>INT((P8+P10)/2)</f>
        <v>40821</v>
      </c>
      <c r="Q9" s="674" t="s">
        <v>324</v>
      </c>
      <c r="R9" s="80" t="s">
        <v>57</v>
      </c>
      <c r="S9" s="192">
        <f>INT((S8+S10)/2)</f>
        <v>56189</v>
      </c>
      <c r="T9" s="1109"/>
      <c r="U9" s="1119"/>
      <c r="W9" s="30" t="s">
        <v>52</v>
      </c>
      <c r="X9" s="175" t="s">
        <v>53</v>
      </c>
      <c r="Y9" s="31" t="s">
        <v>54</v>
      </c>
      <c r="Z9" s="32" t="s">
        <v>55</v>
      </c>
    </row>
    <row r="10" spans="2:26" ht="14.25" thickBot="1">
      <c r="B10" s="23"/>
      <c r="C10" s="22"/>
      <c r="D10" s="143"/>
      <c r="E10" s="7" t="s">
        <v>49</v>
      </c>
      <c r="F10" s="8"/>
      <c r="G10" s="8"/>
      <c r="H10" s="8">
        <v>6</v>
      </c>
      <c r="I10" s="8"/>
      <c r="J10" s="8"/>
      <c r="K10" s="9"/>
      <c r="N10" s="983"/>
      <c r="O10" s="15" t="s">
        <v>58</v>
      </c>
      <c r="P10" s="16">
        <f>MIN(INT($T$4*S7*IF(A22="true",(1+D22),1)*(1+$B$33+$E$33+$B$51)),ReadMe!$M$94)</f>
        <v>48025</v>
      </c>
      <c r="Q10" s="675"/>
      <c r="R10" s="87" t="s">
        <v>58</v>
      </c>
      <c r="S10" s="193">
        <f>MIN(INT(P10*$F$41),ReadMe!$M$94)</f>
        <v>72037</v>
      </c>
      <c r="T10" s="1110"/>
      <c r="U10" s="1120"/>
      <c r="W10" s="35">
        <v>0</v>
      </c>
      <c r="X10" s="177">
        <v>1</v>
      </c>
      <c r="Y10" s="36">
        <f aca="true" t="shared" si="0" ref="Y10:Y20">$P$7*X10</f>
        <v>2.1</v>
      </c>
      <c r="Z10" s="260">
        <f>Y10*3</f>
        <v>6.300000000000001</v>
      </c>
    </row>
    <row r="11" spans="2:26" ht="13.5">
      <c r="B11" s="23"/>
      <c r="C11" s="22"/>
      <c r="D11" s="143"/>
      <c r="E11" s="7" t="s">
        <v>390</v>
      </c>
      <c r="F11" s="8"/>
      <c r="G11" s="8"/>
      <c r="H11" s="8"/>
      <c r="I11" s="8"/>
      <c r="J11" s="8"/>
      <c r="K11" s="9"/>
      <c r="N11" s="974" t="s">
        <v>805</v>
      </c>
      <c r="O11" s="11" t="s">
        <v>56</v>
      </c>
      <c r="P11" s="12">
        <f>P8*3</f>
        <v>100854</v>
      </c>
      <c r="Q11" s="550"/>
      <c r="R11" s="503"/>
      <c r="S11" s="1121">
        <f>(P12*U7+(U7*0.4*U23))*G46</f>
        <v>12426217.2</v>
      </c>
      <c r="T11" s="1121"/>
      <c r="U11" s="1122"/>
      <c r="W11" s="176">
        <v>1</v>
      </c>
      <c r="X11" s="178">
        <f>1+$Z$7*W11</f>
        <v>1.1</v>
      </c>
      <c r="Y11" s="36">
        <f t="shared" si="0"/>
        <v>2.3100000000000005</v>
      </c>
      <c r="Z11" s="260">
        <f aca="true" t="shared" si="1" ref="Z11:Z20">Y11*3</f>
        <v>6.9300000000000015</v>
      </c>
    </row>
    <row r="12" spans="2:26" ht="13.5">
      <c r="B12" s="23"/>
      <c r="C12" s="22"/>
      <c r="D12" s="143"/>
      <c r="E12" s="7" t="s">
        <v>339</v>
      </c>
      <c r="F12" s="8"/>
      <c r="G12" s="8">
        <v>20</v>
      </c>
      <c r="H12" s="8">
        <v>3</v>
      </c>
      <c r="I12" s="8"/>
      <c r="J12" s="8"/>
      <c r="K12" s="9">
        <v>5</v>
      </c>
      <c r="N12" s="982"/>
      <c r="O12" s="280" t="s">
        <v>140</v>
      </c>
      <c r="P12" s="668">
        <f>U8*3</f>
        <v>124767</v>
      </c>
      <c r="Q12" s="595" t="s">
        <v>1208</v>
      </c>
      <c r="R12" s="596"/>
      <c r="S12" s="1123"/>
      <c r="T12" s="1123"/>
      <c r="U12" s="1124"/>
      <c r="W12" s="39">
        <v>2</v>
      </c>
      <c r="X12" s="178">
        <f aca="true" t="shared" si="2" ref="X12:X19">1+$Z$7*W12</f>
        <v>1.2</v>
      </c>
      <c r="Y12" s="36">
        <f t="shared" si="0"/>
        <v>2.52</v>
      </c>
      <c r="Z12" s="260">
        <f t="shared" si="1"/>
        <v>7.5600000000000005</v>
      </c>
    </row>
    <row r="13" spans="2:26" ht="14.25" thickBot="1">
      <c r="B13" s="23"/>
      <c r="C13" s="22"/>
      <c r="D13" s="143"/>
      <c r="E13" s="7" t="s">
        <v>389</v>
      </c>
      <c r="F13" s="8"/>
      <c r="G13" s="8">
        <v>14</v>
      </c>
      <c r="H13" s="8">
        <v>5</v>
      </c>
      <c r="I13" s="8"/>
      <c r="J13" s="8"/>
      <c r="K13" s="9">
        <v>5</v>
      </c>
      <c r="N13" s="983"/>
      <c r="O13" s="15" t="s">
        <v>58</v>
      </c>
      <c r="P13" s="16">
        <f>S10*3</f>
        <v>216111</v>
      </c>
      <c r="Q13" s="1106" t="s">
        <v>76</v>
      </c>
      <c r="R13" s="1107"/>
      <c r="S13" s="1125"/>
      <c r="T13" s="1125"/>
      <c r="U13" s="1126"/>
      <c r="W13" s="39">
        <v>3</v>
      </c>
      <c r="X13" s="178">
        <f t="shared" si="2"/>
        <v>1.3</v>
      </c>
      <c r="Y13" s="36">
        <f t="shared" si="0"/>
        <v>2.7300000000000004</v>
      </c>
      <c r="Z13" s="260">
        <f t="shared" si="1"/>
        <v>8.190000000000001</v>
      </c>
    </row>
    <row r="14" spans="2:26" ht="14.25" thickBot="1">
      <c r="B14" s="23"/>
      <c r="C14" s="22"/>
      <c r="D14" s="143"/>
      <c r="E14" s="7" t="s">
        <v>59</v>
      </c>
      <c r="F14" s="8"/>
      <c r="G14" s="8">
        <v>8</v>
      </c>
      <c r="H14" s="8">
        <v>13</v>
      </c>
      <c r="I14" s="8"/>
      <c r="J14" s="8"/>
      <c r="K14" s="9">
        <v>5</v>
      </c>
      <c r="V14" s="22"/>
      <c r="W14" s="39">
        <v>4</v>
      </c>
      <c r="X14" s="178">
        <f t="shared" si="2"/>
        <v>1.4</v>
      </c>
      <c r="Y14" s="36">
        <f t="shared" si="0"/>
        <v>2.94</v>
      </c>
      <c r="Z14" s="260">
        <f t="shared" si="1"/>
        <v>8.82</v>
      </c>
    </row>
    <row r="15" spans="2:26" ht="14.25" thickBot="1">
      <c r="B15" s="23"/>
      <c r="C15" s="22"/>
      <c r="D15" s="143"/>
      <c r="E15" s="7" t="s">
        <v>60</v>
      </c>
      <c r="F15" s="8">
        <v>15</v>
      </c>
      <c r="G15" s="8"/>
      <c r="H15" s="8"/>
      <c r="I15" s="8"/>
      <c r="J15" s="8"/>
      <c r="K15" s="9"/>
      <c r="N15" s="977" t="s">
        <v>628</v>
      </c>
      <c r="O15" s="978"/>
      <c r="P15" s="978"/>
      <c r="Q15" s="978"/>
      <c r="R15" s="978"/>
      <c r="S15" s="979"/>
      <c r="W15" s="39">
        <v>5</v>
      </c>
      <c r="X15" s="178">
        <f t="shared" si="2"/>
        <v>1.5</v>
      </c>
      <c r="Y15" s="36">
        <f t="shared" si="0"/>
        <v>3.1500000000000004</v>
      </c>
      <c r="Z15" s="260">
        <f t="shared" si="1"/>
        <v>9.450000000000001</v>
      </c>
    </row>
    <row r="16" spans="2:26" ht="14.25" thickBot="1">
      <c r="B16" s="23"/>
      <c r="C16" s="22"/>
      <c r="D16" s="143"/>
      <c r="E16" s="7" t="s">
        <v>61</v>
      </c>
      <c r="F16" s="8">
        <v>4</v>
      </c>
      <c r="G16" s="8"/>
      <c r="H16" s="8">
        <v>8</v>
      </c>
      <c r="I16" s="8"/>
      <c r="J16" s="8"/>
      <c r="K16" s="9"/>
      <c r="N16" s="24" t="s">
        <v>408</v>
      </c>
      <c r="O16" s="84">
        <f>$D$8</f>
        <v>30</v>
      </c>
      <c r="P16" s="19" t="s">
        <v>51</v>
      </c>
      <c r="Q16" s="76">
        <f>(D8*4+130)/100</f>
        <v>2.5</v>
      </c>
      <c r="R16" s="299" t="s">
        <v>659</v>
      </c>
      <c r="S16" s="51">
        <f>Q16*IF($X$8&gt;=25,$X$20,IF($X$8&gt;=19,$X$19,IF($X$8&gt;=13,$X$18,IF($X$8&gt;=7,$X$17,IF($X$8&gt;=1,$X$16,$X$15)))))</f>
        <v>5</v>
      </c>
      <c r="W16" s="46">
        <v>6</v>
      </c>
      <c r="X16" s="178">
        <f t="shared" si="2"/>
        <v>1.6</v>
      </c>
      <c r="Y16" s="36">
        <f t="shared" si="0"/>
        <v>3.3600000000000003</v>
      </c>
      <c r="Z16" s="260">
        <f t="shared" si="1"/>
        <v>10.080000000000002</v>
      </c>
    </row>
    <row r="17" spans="2:26" ht="13.5">
      <c r="B17" s="23"/>
      <c r="C17" s="22"/>
      <c r="D17" s="143"/>
      <c r="E17" s="7" t="s">
        <v>1059</v>
      </c>
      <c r="F17" s="8"/>
      <c r="G17" s="8">
        <v>3</v>
      </c>
      <c r="H17" s="8">
        <v>3</v>
      </c>
      <c r="I17" s="8">
        <v>3</v>
      </c>
      <c r="J17" s="8">
        <v>3</v>
      </c>
      <c r="K17" s="9"/>
      <c r="N17" s="988" t="s">
        <v>409</v>
      </c>
      <c r="O17" s="77" t="s">
        <v>56</v>
      </c>
      <c r="P17" s="560">
        <f>MIN(INT($R$4*S16*IF($A$22="true",(1+$D$22),1)*(1+$B$33+$E$33+$B$51)),ReadMe!$M$94)</f>
        <v>40021</v>
      </c>
      <c r="Q17" s="975" t="s">
        <v>406</v>
      </c>
      <c r="R17" s="194" t="s">
        <v>56</v>
      </c>
      <c r="S17" s="195">
        <f>MIN(P17*$E$41,ReadMe!$M$94)</f>
        <v>48025.2</v>
      </c>
      <c r="T17" s="1108" t="s">
        <v>140</v>
      </c>
      <c r="U17" s="1090">
        <f>INT((P18*(1-$G$41))+(S18*$G$41))</f>
        <v>49511</v>
      </c>
      <c r="W17" s="46">
        <v>7</v>
      </c>
      <c r="X17" s="178">
        <f t="shared" si="2"/>
        <v>1.7000000000000002</v>
      </c>
      <c r="Y17" s="36">
        <f t="shared" si="0"/>
        <v>3.5700000000000007</v>
      </c>
      <c r="Z17" s="260">
        <f t="shared" si="1"/>
        <v>10.710000000000003</v>
      </c>
    </row>
    <row r="18" spans="1:26" ht="13.5">
      <c r="A18" s="421"/>
      <c r="B18" s="23"/>
      <c r="C18" s="22"/>
      <c r="D18" s="143"/>
      <c r="E18" s="7" t="s">
        <v>1059</v>
      </c>
      <c r="F18" s="8">
        <v>1</v>
      </c>
      <c r="G18" s="8">
        <v>1</v>
      </c>
      <c r="H18" s="8">
        <v>1</v>
      </c>
      <c r="I18" s="8">
        <v>1</v>
      </c>
      <c r="J18" s="8">
        <v>1</v>
      </c>
      <c r="K18" s="9"/>
      <c r="N18" s="1051"/>
      <c r="O18" s="44" t="s">
        <v>57</v>
      </c>
      <c r="P18" s="242">
        <f>INT((P17+P19)/2)</f>
        <v>48597</v>
      </c>
      <c r="Q18" s="1069"/>
      <c r="R18" s="80" t="s">
        <v>57</v>
      </c>
      <c r="S18" s="196">
        <f>INT((S17+S19)/2)</f>
        <v>66892</v>
      </c>
      <c r="T18" s="1109"/>
      <c r="U18" s="1119"/>
      <c r="W18" s="46">
        <v>8</v>
      </c>
      <c r="X18" s="178">
        <f t="shared" si="2"/>
        <v>1.8</v>
      </c>
      <c r="Y18" s="36">
        <f t="shared" si="0"/>
        <v>3.7800000000000002</v>
      </c>
      <c r="Z18" s="260">
        <f t="shared" si="1"/>
        <v>11.34</v>
      </c>
    </row>
    <row r="19" spans="1:26" ht="14.25" thickBot="1">
      <c r="A19" s="421"/>
      <c r="B19" s="48"/>
      <c r="C19" s="520"/>
      <c r="D19" s="239"/>
      <c r="E19" s="7" t="s">
        <v>1059</v>
      </c>
      <c r="F19" s="8">
        <v>1</v>
      </c>
      <c r="G19" s="8">
        <v>1</v>
      </c>
      <c r="H19" s="8">
        <v>1</v>
      </c>
      <c r="I19" s="8">
        <v>1</v>
      </c>
      <c r="J19" s="8">
        <v>1</v>
      </c>
      <c r="K19" s="9"/>
      <c r="N19" s="989"/>
      <c r="O19" s="15" t="s">
        <v>58</v>
      </c>
      <c r="P19" s="562">
        <f>MIN(INT(T4*S16*IF(A22="true",(1+D22),1)*(1+$B$33+$E$33+$B$51)),ReadMe!$M$94)</f>
        <v>57173</v>
      </c>
      <c r="Q19" s="1070"/>
      <c r="R19" s="87" t="s">
        <v>58</v>
      </c>
      <c r="S19" s="197">
        <f>MIN(P19*$F$41,ReadMe!$M$94)</f>
        <v>85759.5</v>
      </c>
      <c r="T19" s="1110"/>
      <c r="U19" s="1120"/>
      <c r="W19" s="50">
        <v>9</v>
      </c>
      <c r="X19" s="178">
        <f t="shared" si="2"/>
        <v>1.9</v>
      </c>
      <c r="Y19" s="36">
        <f t="shared" si="0"/>
        <v>3.9899999999999998</v>
      </c>
      <c r="Z19" s="260">
        <f t="shared" si="1"/>
        <v>11.969999999999999</v>
      </c>
    </row>
    <row r="20" spans="1:26" ht="14.25" thickBot="1">
      <c r="A20" s="421"/>
      <c r="B20" s="639" t="s">
        <v>761</v>
      </c>
      <c r="C20" s="568"/>
      <c r="D20" s="142">
        <v>30</v>
      </c>
      <c r="E20" s="43" t="s">
        <v>1059</v>
      </c>
      <c r="F20" s="8"/>
      <c r="G20" s="8"/>
      <c r="H20" s="8"/>
      <c r="I20" s="8"/>
      <c r="J20" s="8"/>
      <c r="K20" s="9"/>
      <c r="W20" s="172">
        <v>10</v>
      </c>
      <c r="X20" s="641">
        <f>1+$Z$7*W20</f>
        <v>2</v>
      </c>
      <c r="Y20" s="173">
        <f t="shared" si="0"/>
        <v>4.2</v>
      </c>
      <c r="Z20" s="75">
        <f t="shared" si="1"/>
        <v>12.600000000000001</v>
      </c>
    </row>
    <row r="21" spans="1:19" ht="14.25" thickBot="1">
      <c r="A21" s="421" t="b">
        <v>1</v>
      </c>
      <c r="B21" s="23" t="s">
        <v>765</v>
      </c>
      <c r="C21" s="22"/>
      <c r="D21" s="640"/>
      <c r="E21" s="43" t="s">
        <v>970</v>
      </c>
      <c r="F21" s="8"/>
      <c r="G21" s="8">
        <v>2</v>
      </c>
      <c r="H21" s="8">
        <v>2</v>
      </c>
      <c r="I21" s="8">
        <v>2</v>
      </c>
      <c r="J21" s="8">
        <v>2</v>
      </c>
      <c r="K21" s="9"/>
      <c r="N21" s="977" t="s">
        <v>775</v>
      </c>
      <c r="O21" s="978"/>
      <c r="P21" s="978"/>
      <c r="Q21" s="978"/>
      <c r="R21" s="978"/>
      <c r="S21" s="979"/>
    </row>
    <row r="22" spans="1:19" ht="14.25" thickBot="1">
      <c r="A22" s="421" t="str">
        <f>IF(A21=TRUE,"TRUE",IF(D21=1,"TRUE","FLASE"))</f>
        <v>TRUE</v>
      </c>
      <c r="B22" s="14" t="s">
        <v>766</v>
      </c>
      <c r="C22" s="15"/>
      <c r="D22" s="29">
        <f>D20*2/100</f>
        <v>0.6</v>
      </c>
      <c r="E22" s="43" t="s">
        <v>971</v>
      </c>
      <c r="F22" s="8"/>
      <c r="G22" s="8">
        <v>3</v>
      </c>
      <c r="H22" s="8">
        <v>3</v>
      </c>
      <c r="I22" s="8">
        <v>3</v>
      </c>
      <c r="J22" s="8">
        <v>3</v>
      </c>
      <c r="K22" s="9"/>
      <c r="N22" s="24" t="s">
        <v>37</v>
      </c>
      <c r="O22" s="84">
        <f>$D$8</f>
        <v>30</v>
      </c>
      <c r="P22" s="19" t="s">
        <v>51</v>
      </c>
      <c r="Q22" s="76">
        <v>1.5</v>
      </c>
      <c r="R22" s="816" t="s">
        <v>659</v>
      </c>
      <c r="S22" s="76">
        <f>Q22*IF($X$8&gt;=25,$X$20,IF($X$8&gt;=19,$X$19,IF($X$8&gt;=13,$X$18,IF($X$8&gt;=7,$X$17,IF($X$8&gt;=1,$X$16,$X$15)))))</f>
        <v>3</v>
      </c>
    </row>
    <row r="23" spans="2:21" ht="13.5">
      <c r="B23" s="330" t="s">
        <v>759</v>
      </c>
      <c r="C23" s="331"/>
      <c r="D23" s="1073">
        <v>10</v>
      </c>
      <c r="E23" s="43" t="s">
        <v>1210</v>
      </c>
      <c r="F23" s="8"/>
      <c r="G23" s="8"/>
      <c r="H23" s="8"/>
      <c r="I23" s="8"/>
      <c r="J23" s="8"/>
      <c r="K23" s="9"/>
      <c r="N23" s="981" t="s">
        <v>112</v>
      </c>
      <c r="O23" s="3" t="s">
        <v>56</v>
      </c>
      <c r="P23" s="4">
        <f>MIN(INT($R$4*S22*IF(A45="true",(1+D45),1)*(1+$B$33+$E$33+$B$51)),ReadMe!$M$94)</f>
        <v>15008</v>
      </c>
      <c r="Q23" s="673"/>
      <c r="R23" s="174" t="s">
        <v>56</v>
      </c>
      <c r="S23" s="191">
        <f>MIN(INT(P23*$E$41),ReadMe!$M$94)</f>
        <v>18009</v>
      </c>
      <c r="T23" s="1108" t="s">
        <v>140</v>
      </c>
      <c r="U23" s="1090">
        <f>INT((P24*(1-$G$41))+(S24*$G$41))</f>
        <v>18567</v>
      </c>
    </row>
    <row r="24" spans="2:21" ht="13.5">
      <c r="B24" s="330" t="s">
        <v>760</v>
      </c>
      <c r="C24" s="331"/>
      <c r="D24" s="1074"/>
      <c r="E24" s="43" t="s">
        <v>662</v>
      </c>
      <c r="F24" s="8"/>
      <c r="G24" s="8"/>
      <c r="H24" s="8"/>
      <c r="I24" s="8"/>
      <c r="J24" s="8"/>
      <c r="K24" s="9"/>
      <c r="N24" s="982"/>
      <c r="O24" s="44" t="s">
        <v>57</v>
      </c>
      <c r="P24" s="45">
        <f>INT((P23+P25)/2)</f>
        <v>18224</v>
      </c>
      <c r="Q24" s="674" t="s">
        <v>324</v>
      </c>
      <c r="R24" s="80" t="s">
        <v>57</v>
      </c>
      <c r="S24" s="192">
        <f>INT((S23+S25)/2)</f>
        <v>25084</v>
      </c>
      <c r="T24" s="1109"/>
      <c r="U24" s="1119"/>
    </row>
    <row r="25" spans="2:21" ht="14.25" thickBot="1">
      <c r="B25" s="14" t="s">
        <v>758</v>
      </c>
      <c r="C25" s="15"/>
      <c r="D25" s="29">
        <f>(4*D23)/100</f>
        <v>0.4</v>
      </c>
      <c r="E25" s="43" t="s">
        <v>823</v>
      </c>
      <c r="F25" s="517">
        <v>20</v>
      </c>
      <c r="G25" s="517"/>
      <c r="H25" s="517"/>
      <c r="I25" s="517"/>
      <c r="J25" s="517"/>
      <c r="K25" s="518"/>
      <c r="N25" s="983"/>
      <c r="O25" s="15" t="s">
        <v>58</v>
      </c>
      <c r="P25" s="16">
        <f>MIN(INT($T$4*S22*IF(A45="true",(1+D45),1)*(1+$B$33+$E$33+$B$51)),ReadMe!$M$94)</f>
        <v>21440</v>
      </c>
      <c r="Q25" s="675"/>
      <c r="R25" s="87" t="s">
        <v>58</v>
      </c>
      <c r="S25" s="193">
        <f>MIN(INT(P25*$F$41),ReadMe!$M$94)</f>
        <v>32160</v>
      </c>
      <c r="T25" s="1110"/>
      <c r="U25" s="1120"/>
    </row>
    <row r="26" spans="2:11" ht="14.25" thickBot="1">
      <c r="B26" s="1081" t="s">
        <v>74</v>
      </c>
      <c r="C26" s="1082"/>
      <c r="D26" s="20">
        <v>9</v>
      </c>
      <c r="E26" s="235" t="s">
        <v>975</v>
      </c>
      <c r="F26" s="8"/>
      <c r="G26" s="41">
        <f>ROUNDDOWN(G3*D27%,0)</f>
        <v>38</v>
      </c>
      <c r="H26" s="41">
        <f>ROUNDDOWN(H3*D27%,0)</f>
        <v>0</v>
      </c>
      <c r="I26" s="41">
        <f>ROUNDDOWN(I3*D27%,0)</f>
        <v>0</v>
      </c>
      <c r="J26" s="41">
        <f>ROUNDDOWN(J3*D27%,0)</f>
        <v>0</v>
      </c>
      <c r="K26" s="9">
        <v>60</v>
      </c>
    </row>
    <row r="27" spans="2:19" ht="14.25" thickBot="1">
      <c r="B27" s="5" t="s">
        <v>62</v>
      </c>
      <c r="C27" s="569"/>
      <c r="D27" s="6">
        <f>ROUNDUP(D26/2,0)</f>
        <v>5</v>
      </c>
      <c r="E27" s="7" t="s">
        <v>63</v>
      </c>
      <c r="F27" s="44">
        <f>D28</f>
        <v>0</v>
      </c>
      <c r="G27" s="44">
        <f>SUM(G4:G25)</f>
        <v>89</v>
      </c>
      <c r="H27" s="44">
        <f>SUM(H4:H25)</f>
        <v>77</v>
      </c>
      <c r="I27" s="44">
        <f>SUM(I4:I25)</f>
        <v>27</v>
      </c>
      <c r="J27" s="44">
        <f>SUM(J4:J25)</f>
        <v>27</v>
      </c>
      <c r="K27" s="45">
        <f>SUM(K3:K25)+D28+K26</f>
        <v>104</v>
      </c>
      <c r="N27" s="1062" t="s">
        <v>1050</v>
      </c>
      <c r="O27" s="1063"/>
      <c r="P27" s="1063"/>
      <c r="Q27" s="1064"/>
      <c r="R27" s="490" t="s">
        <v>113</v>
      </c>
      <c r="S27" s="486">
        <v>0.7</v>
      </c>
    </row>
    <row r="28" spans="2:19" ht="14.25" thickBot="1">
      <c r="B28" s="169" t="s">
        <v>1024</v>
      </c>
      <c r="C28" s="416"/>
      <c r="D28" s="243">
        <v>0</v>
      </c>
      <c r="E28" s="5" t="s">
        <v>55</v>
      </c>
      <c r="F28" s="579">
        <f>SUM(F3:F27)</f>
        <v>176</v>
      </c>
      <c r="G28" s="579">
        <f>INT((G3+G26+G27)*(1+G31))</f>
        <v>975</v>
      </c>
      <c r="H28" s="579">
        <f>INT((H3+H26+H27)*(1+H31))</f>
        <v>81</v>
      </c>
      <c r="I28" s="579">
        <f>INT((I3+I26+I27)*(1+I31))</f>
        <v>31</v>
      </c>
      <c r="J28" s="579">
        <f>INT((J3+J26+J27)*(1+J31))</f>
        <v>31</v>
      </c>
      <c r="K28" s="580">
        <f>($J$28+$H$28*1.2+K27)*(1+K31)</f>
        <v>232.2</v>
      </c>
      <c r="N28" s="1023" t="s">
        <v>1051</v>
      </c>
      <c r="O28" s="1114"/>
      <c r="P28" s="670">
        <v>1</v>
      </c>
      <c r="Q28" s="1115" t="s">
        <v>997</v>
      </c>
      <c r="R28" s="1116"/>
      <c r="S28" s="332">
        <v>1</v>
      </c>
    </row>
    <row r="29" spans="2:21" ht="14.25" thickBot="1">
      <c r="B29" s="1068" t="s">
        <v>645</v>
      </c>
      <c r="C29" s="1036"/>
      <c r="D29" s="1036"/>
      <c r="E29" s="1036"/>
      <c r="F29" s="1036"/>
      <c r="G29" s="1036"/>
      <c r="H29" s="1036"/>
      <c r="I29" s="1036"/>
      <c r="J29" s="1036"/>
      <c r="K29" s="1037"/>
      <c r="N29" s="988" t="s">
        <v>107</v>
      </c>
      <c r="O29" s="77" t="s">
        <v>56</v>
      </c>
      <c r="P29" s="560">
        <f>INT($R$4*P28*IF($A$22="true",(1+$D$22),1)*(1+$B$33+$E$33+$B$51))</f>
        <v>8004</v>
      </c>
      <c r="Q29" s="1033" t="s">
        <v>1206</v>
      </c>
      <c r="R29" s="79" t="s">
        <v>56</v>
      </c>
      <c r="S29" s="195">
        <f>P29*$E$41</f>
        <v>9604.8</v>
      </c>
      <c r="T29" s="22"/>
      <c r="U29" s="58"/>
    </row>
    <row r="30" spans="2:21" ht="13.5">
      <c r="B30" s="1085" t="s">
        <v>443</v>
      </c>
      <c r="C30" s="1086"/>
      <c r="D30" s="1087"/>
      <c r="E30" s="1038" t="s">
        <v>646</v>
      </c>
      <c r="F30" s="1039"/>
      <c r="G30" s="1" t="s">
        <v>650</v>
      </c>
      <c r="H30" s="3" t="s">
        <v>649</v>
      </c>
      <c r="I30" s="3" t="s">
        <v>648</v>
      </c>
      <c r="J30" s="3" t="s">
        <v>647</v>
      </c>
      <c r="K30" s="4" t="s">
        <v>651</v>
      </c>
      <c r="N30" s="1051"/>
      <c r="O30" s="44" t="s">
        <v>57</v>
      </c>
      <c r="P30" s="242">
        <f>INT((P29+P31)/2)</f>
        <v>9719</v>
      </c>
      <c r="Q30" s="1034"/>
      <c r="R30" s="80" t="s">
        <v>57</v>
      </c>
      <c r="S30" s="196">
        <f>INT((S29+S31)/2)</f>
        <v>13377</v>
      </c>
      <c r="T30" s="22"/>
      <c r="U30" s="58"/>
    </row>
    <row r="31" spans="2:19" ht="14.25" thickBot="1">
      <c r="B31" s="1091">
        <v>0</v>
      </c>
      <c r="C31" s="1132"/>
      <c r="D31" s="1093"/>
      <c r="E31" s="1040">
        <v>0</v>
      </c>
      <c r="F31" s="1032"/>
      <c r="G31" s="575">
        <v>0.09</v>
      </c>
      <c r="H31" s="576">
        <v>0</v>
      </c>
      <c r="I31" s="576">
        <v>0</v>
      </c>
      <c r="J31" s="576">
        <v>0</v>
      </c>
      <c r="K31" s="577">
        <v>0</v>
      </c>
      <c r="N31" s="989"/>
      <c r="O31" s="15" t="s">
        <v>58</v>
      </c>
      <c r="P31" s="562">
        <f>INT($T$4*P28*IF($A$22="true",(1+$D$22),1)*(1+$B$33+$E$33+$B$51))</f>
        <v>11434</v>
      </c>
      <c r="Q31" s="669" t="s">
        <v>112</v>
      </c>
      <c r="R31" s="87" t="s">
        <v>58</v>
      </c>
      <c r="S31" s="197">
        <f>P31*$F$41</f>
        <v>17151</v>
      </c>
    </row>
    <row r="32" spans="2:19" ht="14.25" thickBot="1">
      <c r="B32" s="1088" t="s">
        <v>644</v>
      </c>
      <c r="C32" s="1089"/>
      <c r="D32" s="1090"/>
      <c r="E32" s="984" t="s">
        <v>551</v>
      </c>
      <c r="F32" s="976"/>
      <c r="N32" s="985" t="s">
        <v>127</v>
      </c>
      <c r="O32" s="986"/>
      <c r="P32" s="980"/>
      <c r="Q32" s="1035">
        <f>INT((P30*(1-$G$41))+(S30*$G$41))</f>
        <v>9901</v>
      </c>
      <c r="R32" s="1027"/>
      <c r="S32" s="1028"/>
    </row>
    <row r="33" spans="2:19" ht="14.25" thickBot="1">
      <c r="B33" s="1091">
        <v>0</v>
      </c>
      <c r="C33" s="1092"/>
      <c r="D33" s="1093"/>
      <c r="E33" s="1040">
        <v>0</v>
      </c>
      <c r="F33" s="1032"/>
      <c r="N33" s="1065" t="s">
        <v>407</v>
      </c>
      <c r="O33" s="1066"/>
      <c r="P33" s="1067"/>
      <c r="Q33" s="1035">
        <f>Q32*S28</f>
        <v>9901</v>
      </c>
      <c r="R33" s="1027"/>
      <c r="S33" s="1028"/>
    </row>
    <row r="34" ht="14.25" thickBot="1"/>
    <row r="35" spans="2:11" ht="14.25" thickBot="1">
      <c r="B35" s="1047" t="s">
        <v>1120</v>
      </c>
      <c r="C35" s="1048"/>
      <c r="D35" s="1048"/>
      <c r="E35" s="535" t="s">
        <v>56</v>
      </c>
      <c r="F35" s="19" t="s">
        <v>58</v>
      </c>
      <c r="G35" s="536" t="s">
        <v>750</v>
      </c>
      <c r="I35" s="1041" t="s">
        <v>218</v>
      </c>
      <c r="J35" s="1042"/>
      <c r="K35" s="1043"/>
    </row>
    <row r="36" spans="2:11" ht="14.25" thickBot="1">
      <c r="B36" s="1133" t="s">
        <v>1122</v>
      </c>
      <c r="C36" s="1134"/>
      <c r="D36" s="1135"/>
      <c r="E36" s="36">
        <v>1.2</v>
      </c>
      <c r="F36" s="539">
        <v>1.5</v>
      </c>
      <c r="G36" s="260">
        <v>0.05</v>
      </c>
      <c r="I36" s="1041" t="s">
        <v>220</v>
      </c>
      <c r="J36" s="1053"/>
      <c r="K36" s="1054"/>
    </row>
    <row r="37" spans="2:11" ht="14.25" thickBot="1">
      <c r="B37" s="1051" t="s">
        <v>1117</v>
      </c>
      <c r="C37" s="1052"/>
      <c r="D37" s="548">
        <v>0</v>
      </c>
      <c r="E37" s="538"/>
      <c r="F37" s="537">
        <f>D37/100</f>
        <v>0</v>
      </c>
      <c r="G37" s="543">
        <f>IF(D37=0,0,(5+ROUNDUP(D37/2,0))/100)</f>
        <v>0</v>
      </c>
      <c r="I37" s="871" t="s">
        <v>217</v>
      </c>
      <c r="J37" s="224"/>
      <c r="K37" s="247">
        <v>0</v>
      </c>
    </row>
    <row r="38" spans="2:7" ht="14.25" thickBot="1">
      <c r="B38" s="1051" t="s">
        <v>1118</v>
      </c>
      <c r="C38" s="1052"/>
      <c r="D38" s="548">
        <v>0</v>
      </c>
      <c r="E38" s="538">
        <f>D38/100</f>
        <v>0</v>
      </c>
      <c r="F38" s="537"/>
      <c r="G38" s="543">
        <f>IF(D38=0,0,(5+ROUNDUP(D38/2,0))/100)</f>
        <v>0</v>
      </c>
    </row>
    <row r="39" spans="1:13" ht="14.25" thickBot="1">
      <c r="A39" s="421" t="b">
        <v>0</v>
      </c>
      <c r="B39" s="1051" t="s">
        <v>1119</v>
      </c>
      <c r="C39" s="1052"/>
      <c r="D39" s="544"/>
      <c r="E39" s="538"/>
      <c r="F39" s="537">
        <f>IF(H39="true",0.15,0)</f>
        <v>0</v>
      </c>
      <c r="G39" s="543">
        <f>IF(H39="true",0.1,0)</f>
        <v>0</v>
      </c>
      <c r="H39" s="421" t="str">
        <f>IF(A39=TRUE,"TRUE",IF(D39=1,"TRUE","FLASE"))</f>
        <v>FLASE</v>
      </c>
      <c r="I39" s="1058" t="s">
        <v>1163</v>
      </c>
      <c r="J39" s="1059"/>
      <c r="K39" s="896"/>
      <c r="L39" s="421" t="b">
        <v>0</v>
      </c>
      <c r="M39" s="514" t="str">
        <f>IF(L39=TRUE,"TRUE",IF(K39=1,"TRUE","FLASE"))</f>
        <v>FLASE</v>
      </c>
    </row>
    <row r="40" spans="2:11" ht="14.25" thickBot="1">
      <c r="B40" s="1055" t="s">
        <v>1121</v>
      </c>
      <c r="C40" s="1056"/>
      <c r="D40" s="1057"/>
      <c r="E40" s="545">
        <v>0</v>
      </c>
      <c r="F40" s="546">
        <v>0</v>
      </c>
      <c r="G40" s="547">
        <v>0</v>
      </c>
      <c r="I40" s="637" t="s">
        <v>787</v>
      </c>
      <c r="J40" s="893"/>
      <c r="K40" s="894">
        <v>0</v>
      </c>
    </row>
    <row r="41" spans="2:13" ht="14.25" thickBot="1">
      <c r="B41" s="1044" t="s">
        <v>1123</v>
      </c>
      <c r="C41" s="1045"/>
      <c r="D41" s="1046"/>
      <c r="E41" s="540">
        <f>E36+MAX(E38,E39)+E40</f>
        <v>1.2</v>
      </c>
      <c r="F41" s="541">
        <f>F36+MAX(F37,F39)+F40</f>
        <v>1.5</v>
      </c>
      <c r="G41" s="542">
        <f>G36+MAX(G37,G38,G39)+G40</f>
        <v>0.05</v>
      </c>
      <c r="I41" s="1060" t="s">
        <v>530</v>
      </c>
      <c r="J41" s="1061"/>
      <c r="K41" s="895">
        <f>IF(M39="true",IF(K40&gt;0,10+ROUNDUP(K40/3,0),11)/100,0)</f>
        <v>0</v>
      </c>
      <c r="L41" s="342"/>
      <c r="M41" s="342"/>
    </row>
    <row r="42" spans="2:7" ht="14.25" thickBot="1">
      <c r="B42" s="1136" t="s">
        <v>135</v>
      </c>
      <c r="C42" s="1137"/>
      <c r="D42" s="1138"/>
      <c r="E42" s="1011">
        <f>(($E$41+$F$41)/2-1)*$G$41+1</f>
        <v>1.0175</v>
      </c>
      <c r="F42" s="1012"/>
      <c r="G42" s="1005"/>
    </row>
    <row r="43" spans="9:11" ht="14.25" thickBot="1">
      <c r="I43" s="1075" t="s">
        <v>1188</v>
      </c>
      <c r="J43" s="1076"/>
      <c r="K43" s="1077"/>
    </row>
    <row r="44" spans="2:13" ht="13.5">
      <c r="B44" s="1049" t="s">
        <v>416</v>
      </c>
      <c r="C44" s="1050"/>
      <c r="D44" s="566">
        <v>125</v>
      </c>
      <c r="E44" s="1147" t="s">
        <v>417</v>
      </c>
      <c r="F44" s="1148"/>
      <c r="G44" s="26">
        <f>IF(D2&gt;D44,0,$D$44-$D$2)</f>
        <v>0</v>
      </c>
      <c r="I44" s="439" t="s">
        <v>1189</v>
      </c>
      <c r="J44" s="572"/>
      <c r="K44" s="223">
        <v>0</v>
      </c>
      <c r="L44" s="342"/>
      <c r="M44" s="342"/>
    </row>
    <row r="45" spans="2:11" ht="14.25" thickBot="1">
      <c r="B45" s="1006" t="s">
        <v>450</v>
      </c>
      <c r="C45" s="1007"/>
      <c r="D45" s="9">
        <v>150</v>
      </c>
      <c r="E45" s="1006" t="s">
        <v>452</v>
      </c>
      <c r="F45" s="1007"/>
      <c r="G45" s="665">
        <f>IF(G44&gt;0,"-",D45)</f>
        <v>150</v>
      </c>
      <c r="I45" s="440" t="s">
        <v>563</v>
      </c>
      <c r="J45" s="573"/>
      <c r="K45" s="441">
        <f>IF(K44&gt;0,(K44+10)/100,0)</f>
        <v>0</v>
      </c>
    </row>
    <row r="46" spans="2:7" ht="14.25" thickBot="1">
      <c r="B46" s="997" t="s">
        <v>415</v>
      </c>
      <c r="C46" s="998"/>
      <c r="D46" s="9">
        <v>0</v>
      </c>
      <c r="E46" s="1006" t="s">
        <v>451</v>
      </c>
      <c r="F46" s="1007"/>
      <c r="G46" s="543">
        <f>MAX((MIN(100+SQRT($K$28)-SQRT($D$45),100)-5*G44)/100,0)</f>
        <v>1</v>
      </c>
    </row>
    <row r="47" spans="2:13" ht="14.25" thickBot="1">
      <c r="B47" s="1008" t="s">
        <v>642</v>
      </c>
      <c r="C47" s="1009"/>
      <c r="D47" s="567">
        <v>0.25</v>
      </c>
      <c r="E47" s="1145" t="s">
        <v>643</v>
      </c>
      <c r="F47" s="1146"/>
      <c r="G47" s="29">
        <f>1-(D47*(1-(D25+K45)))</f>
        <v>0.85</v>
      </c>
      <c r="I47" s="1003" t="s">
        <v>1110</v>
      </c>
      <c r="J47" s="1004"/>
      <c r="K47" s="996"/>
      <c r="L47" s="342"/>
      <c r="M47" s="168"/>
    </row>
    <row r="48" spans="4:13" ht="14.25" thickBot="1">
      <c r="D48" s="421">
        <f>$D$46*(1-($D$25+$K$45+$B$31))</f>
        <v>0</v>
      </c>
      <c r="G48" s="534">
        <f>1-D47</f>
        <v>0.75</v>
      </c>
      <c r="I48" s="1083" t="s">
        <v>652</v>
      </c>
      <c r="J48" s="1084"/>
      <c r="K48" s="493"/>
      <c r="L48" s="514" t="b">
        <v>0</v>
      </c>
      <c r="M48" s="514" t="str">
        <f>IF(L48=TRUE,"TRUE",IF(K48=1,"TRUE","FLASE"))</f>
        <v>FLASE</v>
      </c>
    </row>
    <row r="49" spans="2:13" ht="13.5">
      <c r="B49" s="1078" t="s">
        <v>749</v>
      </c>
      <c r="C49" s="1079"/>
      <c r="D49" s="1080"/>
      <c r="I49" s="994" t="s">
        <v>653</v>
      </c>
      <c r="J49" s="995"/>
      <c r="K49" s="494"/>
      <c r="L49" s="514" t="b">
        <v>0</v>
      </c>
      <c r="M49" s="514" t="str">
        <f>IF(L49=TRUE,"TRUE",IF(K49=1,"TRUE","FLASE"))</f>
        <v>FLASE</v>
      </c>
    </row>
    <row r="50" spans="2:13" ht="14.25" thickBot="1">
      <c r="B50" s="999" t="s">
        <v>551</v>
      </c>
      <c r="C50" s="1000"/>
      <c r="D50" s="1001"/>
      <c r="I50" s="1002" t="s">
        <v>530</v>
      </c>
      <c r="J50" s="993"/>
      <c r="K50" s="225">
        <f>IF(M48="TRUE",1.04,IF(M49="TRUE",1.02,1))</f>
        <v>1</v>
      </c>
      <c r="L50" s="352"/>
      <c r="M50" s="352"/>
    </row>
    <row r="51" spans="2:13" ht="14.25" thickBot="1">
      <c r="B51" s="1142">
        <v>0</v>
      </c>
      <c r="C51" s="1143"/>
      <c r="D51" s="1144"/>
      <c r="M51" s="168"/>
    </row>
    <row r="52" ht="14.25" thickBot="1"/>
    <row r="53" spans="2:12" ht="14.25" thickBot="1">
      <c r="B53" s="1023" t="s">
        <v>64</v>
      </c>
      <c r="C53" s="1024"/>
      <c r="D53" s="1024"/>
      <c r="E53" s="1024"/>
      <c r="F53" s="1024"/>
      <c r="G53" s="1024"/>
      <c r="H53" s="1024"/>
      <c r="I53" s="1024"/>
      <c r="J53" s="1024"/>
      <c r="K53" s="1024"/>
      <c r="L53" s="1025"/>
    </row>
    <row r="54" spans="2:12" ht="13.5">
      <c r="B54" s="1139" t="s">
        <v>65</v>
      </c>
      <c r="C54" s="1140"/>
      <c r="D54" s="1140"/>
      <c r="E54" s="1140"/>
      <c r="F54" s="1140"/>
      <c r="G54" s="1140"/>
      <c r="H54" s="1140"/>
      <c r="I54" s="1140"/>
      <c r="J54" s="1140"/>
      <c r="K54" s="1140"/>
      <c r="L54" s="1141"/>
    </row>
    <row r="55" spans="2:12" ht="14.25" thickBot="1">
      <c r="B55" s="1129" t="s">
        <v>340</v>
      </c>
      <c r="C55" s="1130"/>
      <c r="D55" s="1130"/>
      <c r="E55" s="1130"/>
      <c r="F55" s="1130"/>
      <c r="G55" s="1130"/>
      <c r="H55" s="1130"/>
      <c r="I55" s="1130"/>
      <c r="J55" s="1130"/>
      <c r="K55" s="1130"/>
      <c r="L55" s="1131"/>
    </row>
    <row r="56" ht="14.25" thickBot="1"/>
    <row r="57" spans="2:12" ht="14.25" thickBot="1">
      <c r="B57" s="1023" t="s">
        <v>393</v>
      </c>
      <c r="C57" s="1024"/>
      <c r="D57" s="1024"/>
      <c r="E57" s="1024"/>
      <c r="F57" s="1024"/>
      <c r="G57" s="1024"/>
      <c r="H57" s="1024"/>
      <c r="I57" s="1024"/>
      <c r="J57" s="1024"/>
      <c r="K57" s="1024"/>
      <c r="L57" s="1025"/>
    </row>
    <row r="58" spans="2:12" ht="13.5">
      <c r="B58" s="1018" t="s">
        <v>501</v>
      </c>
      <c r="C58" s="1019"/>
      <c r="D58" s="1020"/>
      <c r="E58" s="1020"/>
      <c r="F58" s="1020"/>
      <c r="G58" s="1020"/>
      <c r="H58" s="1020"/>
      <c r="I58" s="1020"/>
      <c r="J58" s="1020"/>
      <c r="K58" s="1021"/>
      <c r="L58" s="1016"/>
    </row>
    <row r="59" spans="2:12" ht="13.5">
      <c r="B59" s="1017" t="s">
        <v>1055</v>
      </c>
      <c r="C59" s="1015"/>
      <c r="D59" s="1013"/>
      <c r="E59" s="1013"/>
      <c r="F59" s="1013"/>
      <c r="G59" s="1013"/>
      <c r="H59" s="1013"/>
      <c r="I59" s="1013"/>
      <c r="J59" s="1013"/>
      <c r="K59" s="1014"/>
      <c r="L59" s="1010"/>
    </row>
    <row r="60" spans="2:12" ht="13.5">
      <c r="B60" s="1017" t="s">
        <v>1056</v>
      </c>
      <c r="C60" s="1015"/>
      <c r="D60" s="1013"/>
      <c r="E60" s="1013"/>
      <c r="F60" s="1013"/>
      <c r="G60" s="1013"/>
      <c r="H60" s="1013"/>
      <c r="I60" s="1013"/>
      <c r="J60" s="1013"/>
      <c r="K60" s="1014"/>
      <c r="L60" s="1010"/>
    </row>
    <row r="61" spans="2:12" ht="13.5">
      <c r="B61" s="1017" t="s">
        <v>394</v>
      </c>
      <c r="C61" s="1015"/>
      <c r="D61" s="1013"/>
      <c r="E61" s="1013"/>
      <c r="F61" s="1013"/>
      <c r="G61" s="1013"/>
      <c r="H61" s="1013"/>
      <c r="I61" s="1013"/>
      <c r="J61" s="1013"/>
      <c r="K61" s="1014"/>
      <c r="L61" s="1010"/>
    </row>
    <row r="62" spans="2:12" ht="14.25" thickBot="1">
      <c r="B62" s="1029" t="s">
        <v>395</v>
      </c>
      <c r="C62" s="1030"/>
      <c r="D62" s="1031"/>
      <c r="E62" s="1031"/>
      <c r="F62" s="1031"/>
      <c r="G62" s="1031"/>
      <c r="H62" s="1031"/>
      <c r="I62" s="1031"/>
      <c r="J62" s="1031"/>
      <c r="K62" s="1026"/>
      <c r="L62" s="1022"/>
    </row>
    <row r="65" ht="13.5">
      <c r="V65" s="13"/>
    </row>
    <row r="68" ht="13.5">
      <c r="V68" s="22"/>
    </row>
    <row r="69" ht="13.5">
      <c r="V69" s="22"/>
    </row>
    <row r="71" spans="22:26" ht="13.5">
      <c r="V71" s="60"/>
      <c r="W71" s="60"/>
      <c r="X71" s="60"/>
      <c r="Y71" s="60"/>
      <c r="Z71" s="60"/>
    </row>
    <row r="72" spans="25:26" ht="13.5">
      <c r="Y72" s="60"/>
      <c r="Z72" s="60"/>
    </row>
    <row r="73" spans="22:26" ht="13.5">
      <c r="V73" s="68"/>
      <c r="W73" s="68"/>
      <c r="X73" s="68"/>
      <c r="Y73" s="68"/>
      <c r="Z73" s="68"/>
    </row>
    <row r="74" spans="22:26" ht="13.5">
      <c r="V74" s="58"/>
      <c r="W74" s="58"/>
      <c r="X74" s="58"/>
      <c r="Y74" s="58"/>
      <c r="Z74" s="58"/>
    </row>
    <row r="75" spans="22:26" ht="13.5">
      <c r="V75" s="60"/>
      <c r="W75" s="60"/>
      <c r="X75" s="60"/>
      <c r="Y75" s="60"/>
      <c r="Z75" s="60"/>
    </row>
    <row r="76" spans="22:26" ht="13.5">
      <c r="V76" s="60"/>
      <c r="W76" s="60"/>
      <c r="X76" s="60"/>
      <c r="Y76" s="60"/>
      <c r="Z76" s="60"/>
    </row>
    <row r="77" spans="22:26" ht="13.5">
      <c r="V77" s="60"/>
      <c r="W77" s="60"/>
      <c r="X77" s="60"/>
      <c r="Y77" s="60"/>
      <c r="Z77" s="60"/>
    </row>
    <row r="92" spans="22:26" ht="13.5">
      <c r="V92" s="521"/>
      <c r="W92" s="521"/>
      <c r="X92" s="521"/>
      <c r="Y92" s="521"/>
      <c r="Z92" s="521"/>
    </row>
    <row r="93" spans="22:26" ht="13.5">
      <c r="V93" s="308"/>
      <c r="W93" s="308"/>
      <c r="X93" s="308"/>
      <c r="Y93" s="308"/>
      <c r="Z93" s="308"/>
    </row>
    <row r="94" spans="22:26" ht="13.5">
      <c r="V94" s="308"/>
      <c r="W94" s="308"/>
      <c r="X94" s="308"/>
      <c r="Y94" s="308"/>
      <c r="Z94" s="308"/>
    </row>
    <row r="95" spans="22:26" ht="13.5">
      <c r="V95" s="328"/>
      <c r="W95" s="328"/>
      <c r="X95" s="328"/>
      <c r="Y95" s="328"/>
      <c r="Z95" s="328"/>
    </row>
    <row r="96" spans="22:26" ht="13.5">
      <c r="V96" s="58"/>
      <c r="W96" s="58"/>
      <c r="X96" s="22"/>
      <c r="Y96" s="22"/>
      <c r="Z96" s="22"/>
    </row>
    <row r="97" spans="22:26" ht="13.5">
      <c r="V97" s="58"/>
      <c r="W97" s="58"/>
      <c r="X97" s="22"/>
      <c r="Y97" s="22"/>
      <c r="Z97" s="22"/>
    </row>
    <row r="98" spans="22:26" ht="13.5">
      <c r="V98" s="58"/>
      <c r="W98" s="58"/>
      <c r="X98" s="22"/>
      <c r="Y98" s="22"/>
      <c r="Z98" s="22"/>
    </row>
    <row r="99" spans="22:26" ht="13.5">
      <c r="V99" s="58"/>
      <c r="W99" s="58"/>
      <c r="X99" s="22"/>
      <c r="Y99" s="22"/>
      <c r="Z99" s="22"/>
    </row>
    <row r="100" spans="22:26" ht="13.5">
      <c r="V100" s="58"/>
      <c r="W100" s="58"/>
      <c r="X100" s="22"/>
      <c r="Y100" s="22"/>
      <c r="Z100" s="22"/>
    </row>
    <row r="101" spans="22:26" ht="13.5">
      <c r="V101" s="58"/>
      <c r="W101" s="58"/>
      <c r="X101" s="22"/>
      <c r="Y101" s="22"/>
      <c r="Z101" s="22"/>
    </row>
    <row r="102" spans="22:26" ht="13.5">
      <c r="V102" s="58"/>
      <c r="W102" s="58"/>
      <c r="X102" s="22"/>
      <c r="Y102" s="22"/>
      <c r="Z102" s="22"/>
    </row>
    <row r="103" spans="22:26" ht="13.5">
      <c r="V103" s="58"/>
      <c r="W103" s="58"/>
      <c r="X103" s="22"/>
      <c r="Y103" s="22"/>
      <c r="Z103" s="22"/>
    </row>
    <row r="104" spans="22:26" ht="13.5">
      <c r="V104" s="58"/>
      <c r="W104" s="58"/>
      <c r="X104" s="22"/>
      <c r="Y104" s="22"/>
      <c r="Z104" s="22"/>
    </row>
    <row r="105" spans="22:26" ht="13.5">
      <c r="V105" s="58"/>
      <c r="W105" s="58"/>
      <c r="X105" s="22"/>
      <c r="Y105" s="22"/>
      <c r="Z105" s="22"/>
    </row>
    <row r="106" spans="22:26" ht="13.5">
      <c r="V106" s="58"/>
      <c r="W106" s="58"/>
      <c r="X106" s="22"/>
      <c r="Y106" s="22"/>
      <c r="Z106" s="22"/>
    </row>
  </sheetData>
  <sheetProtection/>
  <protectedRanges>
    <protectedRange sqref="B4:C4 F26 D2 D26 D5:D7 D44:D45 K26 F3:K25 D47" name="範囲1"/>
  </protectedRanges>
  <mergeCells count="86">
    <mergeCell ref="B55:L55"/>
    <mergeCell ref="B31:D31"/>
    <mergeCell ref="B36:D36"/>
    <mergeCell ref="B38:C38"/>
    <mergeCell ref="B42:D42"/>
    <mergeCell ref="B53:L53"/>
    <mergeCell ref="B54:L54"/>
    <mergeCell ref="B51:D51"/>
    <mergeCell ref="E47:F47"/>
    <mergeCell ref="E44:F44"/>
    <mergeCell ref="W6:Z6"/>
    <mergeCell ref="Q32:S32"/>
    <mergeCell ref="N28:O28"/>
    <mergeCell ref="Q28:R28"/>
    <mergeCell ref="W7:X7"/>
    <mergeCell ref="U8:U10"/>
    <mergeCell ref="S11:U13"/>
    <mergeCell ref="Y8:Z8"/>
    <mergeCell ref="U23:U25"/>
    <mergeCell ref="U17:U19"/>
    <mergeCell ref="Q13:R13"/>
    <mergeCell ref="T8:T10"/>
    <mergeCell ref="N23:N25"/>
    <mergeCell ref="N15:S15"/>
    <mergeCell ref="T17:T19"/>
    <mergeCell ref="T23:T25"/>
    <mergeCell ref="B2:C2"/>
    <mergeCell ref="B7:C7"/>
    <mergeCell ref="N6:S6"/>
    <mergeCell ref="B4:D4"/>
    <mergeCell ref="N7:O7"/>
    <mergeCell ref="R2:T2"/>
    <mergeCell ref="Q7:R7"/>
    <mergeCell ref="B8:C8"/>
    <mergeCell ref="D23:D24"/>
    <mergeCell ref="I43:K43"/>
    <mergeCell ref="B49:D49"/>
    <mergeCell ref="E33:F33"/>
    <mergeCell ref="B26:C26"/>
    <mergeCell ref="I48:J48"/>
    <mergeCell ref="B30:D30"/>
    <mergeCell ref="B32:D32"/>
    <mergeCell ref="B33:D33"/>
    <mergeCell ref="F1:P1"/>
    <mergeCell ref="N2:P2"/>
    <mergeCell ref="N29:N31"/>
    <mergeCell ref="N32:P32"/>
    <mergeCell ref="N8:N10"/>
    <mergeCell ref="E32:F32"/>
    <mergeCell ref="N21:S21"/>
    <mergeCell ref="N17:N19"/>
    <mergeCell ref="N11:N13"/>
    <mergeCell ref="Q17:Q19"/>
    <mergeCell ref="B50:D50"/>
    <mergeCell ref="I50:J50"/>
    <mergeCell ref="E46:F46"/>
    <mergeCell ref="E45:F45"/>
    <mergeCell ref="I49:J49"/>
    <mergeCell ref="E42:G42"/>
    <mergeCell ref="B45:C45"/>
    <mergeCell ref="B47:C47"/>
    <mergeCell ref="I47:K47"/>
    <mergeCell ref="B46:C46"/>
    <mergeCell ref="B62:L62"/>
    <mergeCell ref="B57:L57"/>
    <mergeCell ref="B58:L58"/>
    <mergeCell ref="B59:L59"/>
    <mergeCell ref="B60:L60"/>
    <mergeCell ref="B61:L61"/>
    <mergeCell ref="N27:Q27"/>
    <mergeCell ref="N33:P33"/>
    <mergeCell ref="B29:K29"/>
    <mergeCell ref="E30:F30"/>
    <mergeCell ref="E31:F31"/>
    <mergeCell ref="Q29:Q30"/>
    <mergeCell ref="Q33:S33"/>
    <mergeCell ref="I35:K35"/>
    <mergeCell ref="B41:D41"/>
    <mergeCell ref="B35:D35"/>
    <mergeCell ref="B44:C44"/>
    <mergeCell ref="B37:C37"/>
    <mergeCell ref="I36:K36"/>
    <mergeCell ref="B40:D40"/>
    <mergeCell ref="B39:C39"/>
    <mergeCell ref="I39:J39"/>
    <mergeCell ref="I41:J41"/>
  </mergeCells>
  <printOptions/>
  <pageMargins left="0.75" right="0.75" top="1" bottom="1" header="0.512" footer="0.512"/>
  <pageSetup horizontalDpi="300" verticalDpi="300" orientation="portrait" paperSize="9" r:id="rId2"/>
  <ignoredErrors>
    <ignoredError sqref="G27:J27" formulaRange="1"/>
  </ignoredErrors>
  <legacyDrawing r:id="rId1"/>
</worksheet>
</file>

<file path=xl/worksheets/sheet10.xml><?xml version="1.0" encoding="utf-8"?>
<worksheet xmlns="http://schemas.openxmlformats.org/spreadsheetml/2006/main" xmlns:r="http://schemas.openxmlformats.org/officeDocument/2006/relationships">
  <dimension ref="A1:Z80"/>
  <sheetViews>
    <sheetView workbookViewId="0" topLeftCell="A1">
      <selection activeCell="A1" sqref="A1"/>
    </sheetView>
  </sheetViews>
  <sheetFormatPr defaultColWidth="9.00390625" defaultRowHeight="13.5"/>
  <cols>
    <col min="1" max="1" width="2.625" style="0" customWidth="1"/>
    <col min="2" max="11" width="5.625" style="0" customWidth="1"/>
    <col min="12" max="13" width="2.625" style="0" customWidth="1"/>
    <col min="22" max="22" width="1.625" style="0" customWidth="1"/>
  </cols>
  <sheetData>
    <row r="1" spans="6:16" ht="24.75" thickBot="1">
      <c r="F1" s="990" t="s">
        <v>310</v>
      </c>
      <c r="G1" s="990"/>
      <c r="H1" s="990"/>
      <c r="I1" s="990"/>
      <c r="J1" s="990"/>
      <c r="K1" s="990"/>
      <c r="L1" s="990"/>
      <c r="M1" s="990"/>
      <c r="N1" s="990"/>
      <c r="O1" s="990"/>
      <c r="P1" s="990"/>
    </row>
    <row r="2" spans="2:20" ht="14.25" thickBot="1">
      <c r="B2" s="1078" t="s">
        <v>306</v>
      </c>
      <c r="C2" s="1094"/>
      <c r="D2" s="2">
        <v>150</v>
      </c>
      <c r="E2" s="1"/>
      <c r="F2" s="3" t="s">
        <v>301</v>
      </c>
      <c r="G2" s="3" t="s">
        <v>283</v>
      </c>
      <c r="H2" s="3" t="s">
        <v>284</v>
      </c>
      <c r="I2" s="3" t="s">
        <v>286</v>
      </c>
      <c r="J2" s="3" t="s">
        <v>285</v>
      </c>
      <c r="K2" s="4" t="s">
        <v>430</v>
      </c>
      <c r="N2" s="991" t="s">
        <v>104</v>
      </c>
      <c r="O2" s="992"/>
      <c r="P2" s="987"/>
      <c r="Q2" s="58"/>
      <c r="R2" s="991" t="s">
        <v>418</v>
      </c>
      <c r="S2" s="992"/>
      <c r="T2" s="987"/>
    </row>
    <row r="3" spans="2:20" ht="14.25" thickBot="1">
      <c r="B3" s="5" t="s">
        <v>40</v>
      </c>
      <c r="C3" s="569"/>
      <c r="D3" s="6">
        <f>((D2-1)*5+IF(D2&gt;=120,35,IF(D2&gt;=70,30,25)))-(G3+H3+J3+I3)</f>
        <v>0</v>
      </c>
      <c r="E3" s="7" t="s">
        <v>41</v>
      </c>
      <c r="F3" s="8"/>
      <c r="G3" s="8">
        <v>4</v>
      </c>
      <c r="H3" s="8">
        <v>4</v>
      </c>
      <c r="I3" s="8">
        <v>768</v>
      </c>
      <c r="J3" s="8">
        <v>4</v>
      </c>
      <c r="K3" s="9"/>
      <c r="N3" s="10" t="s">
        <v>69</v>
      </c>
      <c r="O3" s="11" t="s">
        <v>70</v>
      </c>
      <c r="P3" s="12" t="s">
        <v>71</v>
      </c>
      <c r="R3" s="10" t="s">
        <v>952</v>
      </c>
      <c r="S3" s="11" t="s">
        <v>953</v>
      </c>
      <c r="T3" s="12" t="s">
        <v>954</v>
      </c>
    </row>
    <row r="4" spans="2:20" ht="14.25" thickBot="1">
      <c r="B4" s="497" t="s">
        <v>292</v>
      </c>
      <c r="C4" s="574"/>
      <c r="D4" s="651" t="s">
        <v>986</v>
      </c>
      <c r="E4" s="7" t="s">
        <v>42</v>
      </c>
      <c r="F4" s="8">
        <v>155</v>
      </c>
      <c r="G4" s="8"/>
      <c r="H4" s="8"/>
      <c r="I4" s="8">
        <v>7</v>
      </c>
      <c r="J4" s="8"/>
      <c r="K4" s="9"/>
      <c r="N4" s="14">
        <f>P4*(0.25+0.5)</f>
        <v>7978.005</v>
      </c>
      <c r="O4" s="15">
        <f>(P4+N4)/2</f>
        <v>9307.6725</v>
      </c>
      <c r="P4" s="16">
        <f>$Q$4*($F$28+INT(($F$28-$F$25)*$E$31)+INT($F$28*($K$41+$K$50-1)))/100</f>
        <v>10637.34</v>
      </c>
      <c r="Q4" s="421">
        <f>1*(4*$I$28+$J$28)</f>
        <v>3999</v>
      </c>
      <c r="R4" s="14">
        <f>N4*$G$47*(1-$G$44/100)</f>
        <v>5983.50375</v>
      </c>
      <c r="S4" s="15">
        <f>O4*$G$47*(1-$G$44/100)</f>
        <v>6980.754375</v>
      </c>
      <c r="T4" s="16">
        <f>P4*$G$47*(1-$G$44/100)</f>
        <v>7978.005</v>
      </c>
    </row>
    <row r="5" spans="2:16" ht="14.25" thickBot="1">
      <c r="B5" s="1" t="s">
        <v>311</v>
      </c>
      <c r="C5" s="3"/>
      <c r="D5" s="142">
        <v>30</v>
      </c>
      <c r="E5" s="43" t="s">
        <v>44</v>
      </c>
      <c r="F5" s="8">
        <v>18</v>
      </c>
      <c r="G5" s="8"/>
      <c r="H5" s="8"/>
      <c r="I5" s="8">
        <v>9</v>
      </c>
      <c r="J5" s="8"/>
      <c r="K5" s="9"/>
      <c r="N5" s="484">
        <f>IF(D4="氷",1.25,IF(D4="雷",1.1,1))</f>
        <v>1</v>
      </c>
      <c r="O5" s="484">
        <f>IF(D4="雷",1.25,IF(D4="氷",1.1,1))</f>
        <v>1</v>
      </c>
      <c r="P5" s="484"/>
    </row>
    <row r="6" spans="2:21" ht="14.25" thickBot="1">
      <c r="B6" s="7" t="s">
        <v>308</v>
      </c>
      <c r="C6" s="44"/>
      <c r="D6" s="9">
        <v>30</v>
      </c>
      <c r="E6" s="43" t="s">
        <v>45</v>
      </c>
      <c r="F6" s="8"/>
      <c r="G6" s="8">
        <v>10</v>
      </c>
      <c r="H6" s="8">
        <v>10</v>
      </c>
      <c r="I6" s="8">
        <v>20</v>
      </c>
      <c r="J6" s="8">
        <v>10</v>
      </c>
      <c r="K6" s="9"/>
      <c r="N6" s="977" t="s">
        <v>85</v>
      </c>
      <c r="O6" s="978"/>
      <c r="P6" s="978"/>
      <c r="Q6" s="978"/>
      <c r="R6" s="978"/>
      <c r="S6" s="978"/>
      <c r="T6" s="978"/>
      <c r="U6" s="979"/>
    </row>
    <row r="7" spans="2:21" ht="14.25" thickBot="1">
      <c r="B7" s="7" t="s">
        <v>315</v>
      </c>
      <c r="C7" s="44"/>
      <c r="D7" s="9">
        <v>30</v>
      </c>
      <c r="E7" s="43" t="s">
        <v>46</v>
      </c>
      <c r="F7" s="8"/>
      <c r="G7" s="8"/>
      <c r="H7" s="8"/>
      <c r="I7" s="8"/>
      <c r="J7" s="8"/>
      <c r="K7" s="9"/>
      <c r="N7" s="1308" t="s">
        <v>446</v>
      </c>
      <c r="O7" s="1540"/>
      <c r="P7" s="415">
        <v>180</v>
      </c>
      <c r="Q7" s="10" t="s">
        <v>551</v>
      </c>
      <c r="R7" s="11"/>
      <c r="S7" s="260">
        <f>INT(D10/3)/100</f>
        <v>0.1</v>
      </c>
      <c r="T7" s="1336" t="s">
        <v>89</v>
      </c>
      <c r="U7" s="1359"/>
    </row>
    <row r="8" spans="2:21" ht="13.5">
      <c r="B8" s="7" t="s">
        <v>455</v>
      </c>
      <c r="C8" s="44"/>
      <c r="D8" s="9">
        <v>30</v>
      </c>
      <c r="E8" s="43" t="s">
        <v>47</v>
      </c>
      <c r="F8" s="8">
        <v>2</v>
      </c>
      <c r="G8" s="8"/>
      <c r="H8" s="8"/>
      <c r="I8" s="8"/>
      <c r="J8" s="8"/>
      <c r="K8" s="9"/>
      <c r="N8" s="1051" t="s">
        <v>545</v>
      </c>
      <c r="O8" s="1052"/>
      <c r="P8" s="42">
        <f>IF(D10=0,0,(10+D10)*(1+D23*0.05))</f>
        <v>60</v>
      </c>
      <c r="Q8" s="7" t="s">
        <v>86</v>
      </c>
      <c r="R8" s="44"/>
      <c r="S8" s="543">
        <f>S7*P9</f>
        <v>1.4000000000000001</v>
      </c>
      <c r="T8" s="1534">
        <f>(P8/P7)*S9</f>
        <v>0.23333333333333334</v>
      </c>
      <c r="U8" s="1535"/>
    </row>
    <row r="9" spans="2:21" ht="14.25" thickBot="1">
      <c r="B9" s="14" t="s">
        <v>97</v>
      </c>
      <c r="C9" s="15"/>
      <c r="D9" s="247">
        <v>30</v>
      </c>
      <c r="E9" s="43" t="s">
        <v>48</v>
      </c>
      <c r="F9" s="8"/>
      <c r="G9" s="8">
        <v>7</v>
      </c>
      <c r="H9" s="8">
        <v>7</v>
      </c>
      <c r="I9" s="8">
        <v>7</v>
      </c>
      <c r="J9" s="8">
        <v>7</v>
      </c>
      <c r="K9" s="9"/>
      <c r="N9" s="989" t="s">
        <v>87</v>
      </c>
      <c r="O9" s="1378"/>
      <c r="P9" s="47">
        <f>MAX(INT(P8/4)-1,0)</f>
        <v>14</v>
      </c>
      <c r="Q9" s="14" t="s">
        <v>88</v>
      </c>
      <c r="R9" s="15"/>
      <c r="S9" s="29">
        <f>S8/2</f>
        <v>0.7000000000000001</v>
      </c>
      <c r="T9" s="1536"/>
      <c r="U9" s="1537"/>
    </row>
    <row r="10" spans="1:20" ht="14.25" thickBot="1">
      <c r="A10" s="421" t="b">
        <v>1</v>
      </c>
      <c r="B10" s="37" t="s">
        <v>96</v>
      </c>
      <c r="C10" s="654"/>
      <c r="D10" s="142">
        <v>30</v>
      </c>
      <c r="E10" s="43" t="s">
        <v>49</v>
      </c>
      <c r="F10" s="8">
        <v>16</v>
      </c>
      <c r="G10" s="8"/>
      <c r="H10" s="8"/>
      <c r="I10" s="8">
        <v>9</v>
      </c>
      <c r="J10" s="8"/>
      <c r="K10" s="9">
        <v>1</v>
      </c>
      <c r="T10" s="421">
        <f>IF(A11="true",1+T8,1)</f>
        <v>1.2333333333333334</v>
      </c>
    </row>
    <row r="11" spans="1:21" ht="14.25" thickBot="1">
      <c r="A11" s="421" t="str">
        <f>IF(A10=TRUE,"TRUE",IF(D11=1,"TRUE","FLASE"))</f>
        <v>TRUE</v>
      </c>
      <c r="B11" s="14" t="s">
        <v>765</v>
      </c>
      <c r="C11" s="15"/>
      <c r="D11" s="533"/>
      <c r="E11" s="43" t="s">
        <v>390</v>
      </c>
      <c r="F11" s="8"/>
      <c r="G11" s="8"/>
      <c r="H11" s="8"/>
      <c r="I11" s="8">
        <v>22</v>
      </c>
      <c r="J11" s="8"/>
      <c r="K11" s="9"/>
      <c r="N11" s="977" t="s">
        <v>1093</v>
      </c>
      <c r="O11" s="978"/>
      <c r="P11" s="978"/>
      <c r="Q11" s="978"/>
      <c r="R11" s="978"/>
      <c r="S11" s="978"/>
      <c r="T11" s="978"/>
      <c r="U11" s="765" t="s">
        <v>1096</v>
      </c>
    </row>
    <row r="12" spans="2:21" ht="14.25" thickBot="1">
      <c r="B12" s="762" t="s">
        <v>1090</v>
      </c>
      <c r="C12" s="743"/>
      <c r="D12" s="763"/>
      <c r="E12" s="43" t="s">
        <v>339</v>
      </c>
      <c r="F12" s="8"/>
      <c r="G12" s="8"/>
      <c r="H12" s="8"/>
      <c r="I12" s="8"/>
      <c r="J12" s="8"/>
      <c r="K12" s="9"/>
      <c r="N12" s="147" t="s">
        <v>293</v>
      </c>
      <c r="O12" s="66">
        <f>D5</f>
        <v>30</v>
      </c>
      <c r="P12" s="147" t="s">
        <v>104</v>
      </c>
      <c r="Q12" s="650">
        <f>(590+5*O12)/100</f>
        <v>7.4</v>
      </c>
      <c r="R12" s="1538" t="s">
        <v>199</v>
      </c>
      <c r="S12" s="1541"/>
      <c r="T12" s="171">
        <v>87</v>
      </c>
      <c r="U12" s="766">
        <f>ROUNDUP(O12/2,0)/100</f>
        <v>0.15</v>
      </c>
    </row>
    <row r="13" spans="1:21" ht="14.25" thickBot="1">
      <c r="A13" s="421" t="b">
        <v>0</v>
      </c>
      <c r="B13" s="330" t="s">
        <v>1092</v>
      </c>
      <c r="C13" s="331"/>
      <c r="D13" s="219"/>
      <c r="E13" s="43" t="s">
        <v>389</v>
      </c>
      <c r="F13" s="8"/>
      <c r="G13" s="8"/>
      <c r="H13" s="8"/>
      <c r="I13" s="8"/>
      <c r="J13" s="8"/>
      <c r="K13" s="9"/>
      <c r="N13" s="1208" t="s">
        <v>303</v>
      </c>
      <c r="O13" s="139" t="s">
        <v>56</v>
      </c>
      <c r="P13" s="149">
        <f>MIN(INT(P17*1.5),ReadMe!$M$94)</f>
        <v>99624</v>
      </c>
      <c r="Q13" s="1528" t="s">
        <v>303</v>
      </c>
      <c r="R13" s="88" t="s">
        <v>56</v>
      </c>
      <c r="S13" s="160">
        <f>MIN(INT(P13*$E$41),ReadMe!$M$94)</f>
        <v>119548</v>
      </c>
      <c r="T13" s="1518" t="s">
        <v>303</v>
      </c>
      <c r="U13" s="1481">
        <f>INT(P14*(1-($G$41+$U$12))+S14*($G$41+$U$12))</f>
        <v>124861</v>
      </c>
    </row>
    <row r="14" spans="1:26" ht="13.5" customHeight="1" thickBot="1">
      <c r="A14" s="421" t="str">
        <f>IF(A13=TRUE,"TRUE",IF(D14=1,"TRUE","FLASE"))</f>
        <v>FLASE</v>
      </c>
      <c r="B14" s="330" t="s">
        <v>1091</v>
      </c>
      <c r="C14" s="331"/>
      <c r="D14" s="640"/>
      <c r="E14" s="43" t="s">
        <v>59</v>
      </c>
      <c r="F14" s="8"/>
      <c r="G14" s="8"/>
      <c r="H14" s="8"/>
      <c r="I14" s="8">
        <v>5</v>
      </c>
      <c r="J14" s="8"/>
      <c r="K14" s="9"/>
      <c r="N14" s="1209"/>
      <c r="O14" s="44" t="s">
        <v>57</v>
      </c>
      <c r="P14" s="63">
        <f>MIN(INT(P18*1.5),ReadMe!$M$94)</f>
        <v>116227</v>
      </c>
      <c r="Q14" s="1529"/>
      <c r="R14" s="80" t="s">
        <v>57</v>
      </c>
      <c r="S14" s="161">
        <f>INT((S13+S15)/2)</f>
        <v>159398</v>
      </c>
      <c r="T14" s="1329"/>
      <c r="U14" s="1409"/>
      <c r="W14" s="1546" t="s">
        <v>387</v>
      </c>
      <c r="X14" s="1547"/>
      <c r="Y14" s="1547"/>
      <c r="Z14" s="1548"/>
    </row>
    <row r="15" spans="2:26" ht="14.25" thickBot="1">
      <c r="B15" s="237"/>
      <c r="C15" s="416"/>
      <c r="D15" s="238"/>
      <c r="E15" s="43" t="s">
        <v>60</v>
      </c>
      <c r="F15" s="8">
        <v>8</v>
      </c>
      <c r="G15" s="8"/>
      <c r="H15" s="8"/>
      <c r="I15" s="8">
        <v>8</v>
      </c>
      <c r="J15" s="8"/>
      <c r="K15" s="9"/>
      <c r="N15" s="1210"/>
      <c r="O15" s="15" t="s">
        <v>58</v>
      </c>
      <c r="P15" s="150">
        <f>MIN(INT(P19*1.5),ReadMe!$M$94)</f>
        <v>132832</v>
      </c>
      <c r="Q15" s="183" t="s">
        <v>324</v>
      </c>
      <c r="R15" s="87" t="s">
        <v>58</v>
      </c>
      <c r="S15" s="162">
        <f>MIN(INT(P15*$F$41),ReadMe!$M$94)</f>
        <v>199248</v>
      </c>
      <c r="T15" s="184" t="s">
        <v>140</v>
      </c>
      <c r="U15" s="1409"/>
      <c r="W15" s="1068" t="s">
        <v>384</v>
      </c>
      <c r="X15" s="1036"/>
      <c r="Y15" s="1036" t="s">
        <v>385</v>
      </c>
      <c r="Z15" s="1037"/>
    </row>
    <row r="16" spans="2:26" ht="14.25" thickBot="1">
      <c r="B16" s="23"/>
      <c r="C16" s="22"/>
      <c r="D16" s="143"/>
      <c r="E16" s="43" t="s">
        <v>61</v>
      </c>
      <c r="F16" s="8">
        <v>5</v>
      </c>
      <c r="G16" s="8"/>
      <c r="H16" s="8"/>
      <c r="I16" s="8">
        <v>8</v>
      </c>
      <c r="J16" s="8"/>
      <c r="K16" s="9"/>
      <c r="N16" s="1205" t="s">
        <v>95</v>
      </c>
      <c r="O16" s="1254"/>
      <c r="P16" s="1254"/>
      <c r="Q16" s="1254"/>
      <c r="R16" s="1254"/>
      <c r="S16" s="1530">
        <f>(S20-IF($A$14="true",$S$54,0))*1.5+IF($A$14="true",$S$54,0)</f>
        <v>13397638.950000001</v>
      </c>
      <c r="T16" s="1298"/>
      <c r="U16" s="1299"/>
      <c r="W16" s="1531">
        <f>INT(S16-U13*$P$68)+$O$70*$S$68*$G$46</f>
        <v>14272256</v>
      </c>
      <c r="X16" s="1121"/>
      <c r="Y16" s="1310">
        <f>INT(S16-U13*$P$68)+$Q$70*$S$68*$G$46</f>
        <v>14732976</v>
      </c>
      <c r="Z16" s="1358"/>
    </row>
    <row r="17" spans="2:26" ht="13.5">
      <c r="B17" s="141"/>
      <c r="C17" s="58"/>
      <c r="D17" s="144"/>
      <c r="E17" s="43" t="s">
        <v>1059</v>
      </c>
      <c r="F17" s="8"/>
      <c r="G17" s="8">
        <v>3</v>
      </c>
      <c r="H17" s="8">
        <v>3</v>
      </c>
      <c r="I17" s="8">
        <v>3</v>
      </c>
      <c r="J17" s="8">
        <v>3</v>
      </c>
      <c r="K17" s="9"/>
      <c r="N17" s="988" t="s">
        <v>131</v>
      </c>
      <c r="O17" s="77" t="s">
        <v>56</v>
      </c>
      <c r="P17" s="554">
        <f>MIN(INT(($R$4*Q12)*(1+$B$33+$E$33+$B$51)*$D$25*$O$5),ReadMe!$M$94)</f>
        <v>66416</v>
      </c>
      <c r="Q17" s="975" t="s">
        <v>406</v>
      </c>
      <c r="R17" s="194" t="s">
        <v>56</v>
      </c>
      <c r="S17" s="160">
        <f>MIN(INT(P17*$E$41),ReadMe!$M$94)</f>
        <v>79699</v>
      </c>
      <c r="T17" s="1432" t="s">
        <v>127</v>
      </c>
      <c r="U17" s="1481">
        <f>INT(P18*(1-($G$41+$U$12))+S18*($G$41+$U$12))</f>
        <v>83241</v>
      </c>
      <c r="W17" s="237"/>
      <c r="X17" s="416"/>
      <c r="Y17" s="416"/>
      <c r="Z17" s="238"/>
    </row>
    <row r="18" spans="2:26" ht="14.25" thickBot="1">
      <c r="B18" s="141"/>
      <c r="C18" s="58"/>
      <c r="D18" s="144"/>
      <c r="E18" s="43" t="s">
        <v>1059</v>
      </c>
      <c r="F18" s="8">
        <v>1</v>
      </c>
      <c r="G18" s="8">
        <v>1</v>
      </c>
      <c r="H18" s="8">
        <v>1</v>
      </c>
      <c r="I18" s="8">
        <v>1</v>
      </c>
      <c r="J18" s="8">
        <v>1</v>
      </c>
      <c r="K18" s="9"/>
      <c r="N18" s="1051"/>
      <c r="O18" s="44" t="s">
        <v>57</v>
      </c>
      <c r="P18" s="555">
        <f>INT((P17+P19)/2)</f>
        <v>77485</v>
      </c>
      <c r="Q18" s="1069"/>
      <c r="R18" s="80" t="s">
        <v>57</v>
      </c>
      <c r="S18" s="161">
        <f>INT((S17+S19)/2)</f>
        <v>106265</v>
      </c>
      <c r="T18" s="1433"/>
      <c r="U18" s="1409"/>
      <c r="W18" s="48"/>
      <c r="X18" s="520"/>
      <c r="Y18" s="520"/>
      <c r="Z18" s="239"/>
    </row>
    <row r="19" spans="2:26" ht="14.25" thickBot="1">
      <c r="B19" s="141"/>
      <c r="C19" s="58"/>
      <c r="D19" s="144"/>
      <c r="E19" s="43" t="s">
        <v>1059</v>
      </c>
      <c r="F19" s="8">
        <v>1</v>
      </c>
      <c r="G19" s="8">
        <v>1</v>
      </c>
      <c r="H19" s="8">
        <v>1</v>
      </c>
      <c r="I19" s="8">
        <v>1</v>
      </c>
      <c r="J19" s="8">
        <v>1</v>
      </c>
      <c r="K19" s="9"/>
      <c r="N19" s="989"/>
      <c r="O19" s="15" t="s">
        <v>58</v>
      </c>
      <c r="P19" s="556">
        <f>MIN(INT(($T$4*Q12)*(1+$B$33+$E$33+$B$51)*$D$25*$O$5),ReadMe!$M$94)</f>
        <v>88555</v>
      </c>
      <c r="Q19" s="1070"/>
      <c r="R19" s="87" t="s">
        <v>58</v>
      </c>
      <c r="S19" s="162">
        <f>MIN(INT(P19*$F$41),ReadMe!$M$94)</f>
        <v>132832</v>
      </c>
      <c r="T19" s="1433"/>
      <c r="U19" s="1409"/>
      <c r="W19" s="1210" t="s">
        <v>384</v>
      </c>
      <c r="X19" s="1544"/>
      <c r="Y19" s="1544" t="s">
        <v>385</v>
      </c>
      <c r="Z19" s="1545"/>
    </row>
    <row r="20" spans="2:26" ht="14.25" thickBot="1">
      <c r="B20" s="141"/>
      <c r="C20" s="58"/>
      <c r="D20" s="144"/>
      <c r="E20" s="43" t="s">
        <v>1059</v>
      </c>
      <c r="F20" s="8"/>
      <c r="G20" s="8"/>
      <c r="H20" s="8"/>
      <c r="I20" s="8"/>
      <c r="J20" s="8"/>
      <c r="K20" s="9"/>
      <c r="N20" s="1205" t="s">
        <v>94</v>
      </c>
      <c r="O20" s="1254"/>
      <c r="P20" s="1254"/>
      <c r="Q20" s="1254"/>
      <c r="R20" s="1254"/>
      <c r="S20" s="1530">
        <f>(U17*T12*$T$10+IF($A$14="true",$S$54,0))*$G$46</f>
        <v>8931759.3</v>
      </c>
      <c r="T20" s="1298"/>
      <c r="U20" s="1299"/>
      <c r="W20" s="1310">
        <f>INT(S20-U17*$P$68)+$O$70*$S$68*$G$46</f>
        <v>9821983</v>
      </c>
      <c r="X20" s="1311"/>
      <c r="Y20" s="1310">
        <f>INT(S20-U17*$P$68)+$Q$70*$S$68*$G$46</f>
        <v>10282703</v>
      </c>
      <c r="Z20" s="1358"/>
    </row>
    <row r="21" spans="1:11" ht="14.25" thickBot="1">
      <c r="A21" s="421"/>
      <c r="B21" s="141"/>
      <c r="C21" s="58"/>
      <c r="D21" s="498"/>
      <c r="E21" s="43" t="s">
        <v>970</v>
      </c>
      <c r="F21" s="8"/>
      <c r="G21" s="8">
        <v>2</v>
      </c>
      <c r="H21" s="8">
        <v>2</v>
      </c>
      <c r="I21" s="8">
        <v>2</v>
      </c>
      <c r="J21" s="8">
        <v>2</v>
      </c>
      <c r="K21" s="9"/>
    </row>
    <row r="22" spans="1:21" ht="14.25" thickBot="1">
      <c r="A22" s="421"/>
      <c r="B22" s="145"/>
      <c r="C22" s="592"/>
      <c r="D22" s="764"/>
      <c r="E22" s="43" t="s">
        <v>972</v>
      </c>
      <c r="F22" s="8"/>
      <c r="G22" s="8">
        <v>3</v>
      </c>
      <c r="H22" s="8">
        <v>3</v>
      </c>
      <c r="I22" s="8">
        <v>3</v>
      </c>
      <c r="J22" s="8">
        <v>3</v>
      </c>
      <c r="K22" s="9"/>
      <c r="N22" s="977" t="s">
        <v>1094</v>
      </c>
      <c r="O22" s="978"/>
      <c r="P22" s="978"/>
      <c r="Q22" s="978"/>
      <c r="R22" s="978"/>
      <c r="S22" s="978"/>
      <c r="T22" s="978"/>
      <c r="U22" s="186" t="s">
        <v>294</v>
      </c>
    </row>
    <row r="23" spans="2:21" ht="14.25" thickBot="1">
      <c r="B23" s="652" t="s">
        <v>331</v>
      </c>
      <c r="C23" s="653"/>
      <c r="D23" s="375">
        <v>10</v>
      </c>
      <c r="E23" s="7" t="s">
        <v>1210</v>
      </c>
      <c r="F23" s="8"/>
      <c r="G23" s="8"/>
      <c r="H23" s="8"/>
      <c r="I23" s="8"/>
      <c r="J23" s="8"/>
      <c r="K23" s="9"/>
      <c r="N23" s="92" t="s">
        <v>293</v>
      </c>
      <c r="O23" s="93">
        <f>D6</f>
        <v>30</v>
      </c>
      <c r="P23" s="151" t="s">
        <v>104</v>
      </c>
      <c r="Q23" s="649">
        <f>(170+3*O23)/100</f>
        <v>2.6</v>
      </c>
      <c r="R23" s="1104" t="s">
        <v>199</v>
      </c>
      <c r="S23" s="1207"/>
      <c r="T23" s="84">
        <v>83</v>
      </c>
      <c r="U23" s="83">
        <f>1+ROUNDUP(O23/7,0)</f>
        <v>6</v>
      </c>
    </row>
    <row r="24" spans="2:21" ht="14.25" thickBot="1">
      <c r="B24" s="327" t="s">
        <v>1192</v>
      </c>
      <c r="C24" s="584"/>
      <c r="D24" s="20">
        <v>20</v>
      </c>
      <c r="E24" s="7" t="s">
        <v>1061</v>
      </c>
      <c r="F24" s="8"/>
      <c r="G24" s="8"/>
      <c r="H24" s="8"/>
      <c r="I24" s="8"/>
      <c r="J24" s="8"/>
      <c r="K24" s="9"/>
      <c r="N24" s="1068" t="s">
        <v>327</v>
      </c>
      <c r="O24" s="1036"/>
      <c r="P24" s="750">
        <f>(40+2*O23)/100</f>
        <v>1</v>
      </c>
      <c r="Q24" s="17" t="s">
        <v>908</v>
      </c>
      <c r="R24" s="84">
        <f>5+INT(O23/6)</f>
        <v>10</v>
      </c>
      <c r="S24" s="1068" t="s">
        <v>326</v>
      </c>
      <c r="T24" s="1036"/>
      <c r="U24" s="747">
        <f>INT(P4*P24*N5)</f>
        <v>10637</v>
      </c>
    </row>
    <row r="25" spans="2:21" ht="14.25" customHeight="1" thickBot="1">
      <c r="B25" s="54" t="s">
        <v>105</v>
      </c>
      <c r="C25" s="598"/>
      <c r="D25" s="621">
        <f>(110+2*D24)/100</f>
        <v>1.5</v>
      </c>
      <c r="E25" s="7" t="s">
        <v>823</v>
      </c>
      <c r="F25" s="8">
        <v>20</v>
      </c>
      <c r="G25" s="8"/>
      <c r="H25" s="8"/>
      <c r="I25" s="8"/>
      <c r="J25" s="8"/>
      <c r="K25" s="9"/>
      <c r="N25" s="1208" t="s">
        <v>303</v>
      </c>
      <c r="O25" s="139" t="s">
        <v>56</v>
      </c>
      <c r="P25" s="149">
        <f>MIN(INT(P29*1.5),ReadMe!$M$94)</f>
        <v>35002</v>
      </c>
      <c r="Q25" s="1528" t="s">
        <v>303</v>
      </c>
      <c r="R25" s="88" t="s">
        <v>56</v>
      </c>
      <c r="S25" s="160">
        <f>MIN(INT(P25*$E$41),ReadMe!$M$94)</f>
        <v>42002</v>
      </c>
      <c r="T25" s="1518" t="s">
        <v>303</v>
      </c>
      <c r="U25" s="1408">
        <f>INT(P26*(1-$G$41)+S26*$G$41)</f>
        <v>41594</v>
      </c>
    </row>
    <row r="26" spans="2:21" ht="14.25" thickBot="1">
      <c r="B26" s="1245" t="s">
        <v>309</v>
      </c>
      <c r="C26" s="1246"/>
      <c r="D26" s="20">
        <v>9</v>
      </c>
      <c r="E26" s="235" t="s">
        <v>975</v>
      </c>
      <c r="F26" s="8"/>
      <c r="G26" s="41">
        <f>ROUNDDOWN(G3*D27%,0)</f>
        <v>0</v>
      </c>
      <c r="H26" s="41">
        <f>ROUNDDOWN(H3*D27%,0)</f>
        <v>0</v>
      </c>
      <c r="I26" s="41">
        <f>ROUNDDOWN(I3*D27%,0)</f>
        <v>38</v>
      </c>
      <c r="J26" s="41">
        <f>ROUNDDOWN(J3*D27%,0)</f>
        <v>0</v>
      </c>
      <c r="K26" s="9">
        <f>SUM(K2:K25)+D27</f>
        <v>6</v>
      </c>
      <c r="N26" s="1209"/>
      <c r="O26" s="44" t="s">
        <v>57</v>
      </c>
      <c r="P26" s="63">
        <f>MIN(INT(P30*1.5),ReadMe!$M$94)</f>
        <v>40836</v>
      </c>
      <c r="Q26" s="1529"/>
      <c r="R26" s="80" t="s">
        <v>57</v>
      </c>
      <c r="S26" s="161">
        <f>INT((S25+S27)/2)</f>
        <v>56004</v>
      </c>
      <c r="T26" s="1329"/>
      <c r="U26" s="1409"/>
    </row>
    <row r="27" spans="2:24" ht="14.25" thickBot="1">
      <c r="B27" s="14" t="s">
        <v>62</v>
      </c>
      <c r="C27" s="571"/>
      <c r="D27" s="47">
        <f>ROUNDUP(D26/2,0)</f>
        <v>5</v>
      </c>
      <c r="E27" s="7" t="s">
        <v>63</v>
      </c>
      <c r="F27" s="44">
        <f>D28+3*D23+10</f>
        <v>40</v>
      </c>
      <c r="G27" s="44">
        <f>SUM(G4:G25)</f>
        <v>27</v>
      </c>
      <c r="H27" s="44">
        <f>SUM(H4:H25)</f>
        <v>27</v>
      </c>
      <c r="I27" s="44">
        <f>SUM(I4:I25)</f>
        <v>105</v>
      </c>
      <c r="J27" s="44">
        <f>SUM(J4:J25)</f>
        <v>27</v>
      </c>
      <c r="K27" s="635">
        <f>SUM(K3:K26)+D32</f>
        <v>7</v>
      </c>
      <c r="N27" s="1210"/>
      <c r="O27" s="15" t="s">
        <v>58</v>
      </c>
      <c r="P27" s="150">
        <f>MIN(INT(P31*1.5),ReadMe!$M$94)</f>
        <v>46671</v>
      </c>
      <c r="Q27" s="183" t="s">
        <v>324</v>
      </c>
      <c r="R27" s="87" t="s">
        <v>58</v>
      </c>
      <c r="S27" s="162">
        <f>MIN(INT(P27*$F$41),ReadMe!$M$94)</f>
        <v>70006</v>
      </c>
      <c r="T27" s="184" t="s">
        <v>140</v>
      </c>
      <c r="U27" s="1409"/>
      <c r="W27" s="1165" t="s">
        <v>388</v>
      </c>
      <c r="X27" s="1167"/>
    </row>
    <row r="28" spans="2:24" ht="14.25" thickBot="1">
      <c r="B28" s="17" t="s">
        <v>1024</v>
      </c>
      <c r="C28" s="210"/>
      <c r="D28" s="332">
        <v>0</v>
      </c>
      <c r="E28" s="14" t="s">
        <v>55</v>
      </c>
      <c r="F28" s="49">
        <f>SUM(F4:F27)</f>
        <v>266</v>
      </c>
      <c r="G28" s="49">
        <f>INT((G3+G26+G27)*(1+G31))</f>
        <v>31</v>
      </c>
      <c r="H28" s="49">
        <f>INT((H3+H26+H27)*(1+H31))</f>
        <v>31</v>
      </c>
      <c r="I28" s="49">
        <f>INT((I3+I26+I27)*(1+I31))</f>
        <v>992</v>
      </c>
      <c r="J28" s="49">
        <f>INT((J3+J26+J27)*(1+J31))</f>
        <v>31</v>
      </c>
      <c r="K28" s="205">
        <f>($I$28+$J$28*1.2+K27)*(1+K31)</f>
        <v>1036.2</v>
      </c>
      <c r="N28" s="1205" t="s">
        <v>92</v>
      </c>
      <c r="O28" s="1254"/>
      <c r="P28" s="1254"/>
      <c r="Q28" s="1254"/>
      <c r="R28" s="1254"/>
      <c r="S28" s="1530">
        <f>(S32-IF($A$14="true",$S$54,0))*1.5+IF($A$14="true",$S$54,0)</f>
        <v>5215117.95</v>
      </c>
      <c r="T28" s="1298"/>
      <c r="U28" s="1299"/>
      <c r="W28" s="1310">
        <f>INT(S28-U25*$P$68)+$Q$70*$S$68*$G$46</f>
        <v>6581680</v>
      </c>
      <c r="X28" s="1358"/>
    </row>
    <row r="29" spans="2:24" ht="14.25" thickBot="1">
      <c r="B29" s="1068" t="s">
        <v>645</v>
      </c>
      <c r="C29" s="1036"/>
      <c r="D29" s="1036"/>
      <c r="E29" s="1036"/>
      <c r="F29" s="1036"/>
      <c r="G29" s="1036"/>
      <c r="H29" s="1036"/>
      <c r="I29" s="1036"/>
      <c r="J29" s="1036"/>
      <c r="K29" s="1037"/>
      <c r="N29" s="988" t="s">
        <v>131</v>
      </c>
      <c r="O29" s="77" t="s">
        <v>56</v>
      </c>
      <c r="P29" s="554">
        <f>MIN(INT(($R$4*Q23)*(1+$B$33+$E$33+$B$51)*$D$25*$N$5),ReadMe!$M$94)</f>
        <v>23335</v>
      </c>
      <c r="Q29" s="975" t="s">
        <v>406</v>
      </c>
      <c r="R29" s="194" t="s">
        <v>56</v>
      </c>
      <c r="S29" s="160">
        <f>MIN(INT(P29*$E$41),ReadMe!$M$94)</f>
        <v>28002</v>
      </c>
      <c r="T29" s="1432" t="s">
        <v>127</v>
      </c>
      <c r="U29" s="1408">
        <f>INT(P30*(1-$G$41)+S30*$G$41)</f>
        <v>27729</v>
      </c>
      <c r="W29" s="23"/>
      <c r="X29" s="143"/>
    </row>
    <row r="30" spans="2:24" ht="13.5">
      <c r="B30" s="1085" t="s">
        <v>443</v>
      </c>
      <c r="C30" s="1086"/>
      <c r="D30" s="1087"/>
      <c r="E30" s="1038" t="s">
        <v>646</v>
      </c>
      <c r="F30" s="1039"/>
      <c r="G30" s="1" t="s">
        <v>650</v>
      </c>
      <c r="H30" s="3" t="s">
        <v>649</v>
      </c>
      <c r="I30" s="3" t="s">
        <v>648</v>
      </c>
      <c r="J30" s="3" t="s">
        <v>647</v>
      </c>
      <c r="K30" s="4" t="s">
        <v>651</v>
      </c>
      <c r="N30" s="1051"/>
      <c r="O30" s="44" t="s">
        <v>57</v>
      </c>
      <c r="P30" s="555">
        <f>INT((P29+P31)/2)</f>
        <v>27224</v>
      </c>
      <c r="Q30" s="1069"/>
      <c r="R30" s="80" t="s">
        <v>57</v>
      </c>
      <c r="S30" s="161">
        <f>INT((S29+S31)/2)</f>
        <v>37336</v>
      </c>
      <c r="T30" s="1433"/>
      <c r="U30" s="1409"/>
      <c r="W30" s="23"/>
      <c r="X30" s="143"/>
    </row>
    <row r="31" spans="2:24" ht="14.25" thickBot="1">
      <c r="B31" s="1091">
        <v>0</v>
      </c>
      <c r="C31" s="1132"/>
      <c r="D31" s="1093"/>
      <c r="E31" s="1040">
        <v>0</v>
      </c>
      <c r="F31" s="1032"/>
      <c r="G31" s="575">
        <v>0</v>
      </c>
      <c r="H31" s="576">
        <v>0</v>
      </c>
      <c r="I31" s="576">
        <v>0.09</v>
      </c>
      <c r="J31" s="576">
        <v>0</v>
      </c>
      <c r="K31" s="577">
        <v>0</v>
      </c>
      <c r="N31" s="989"/>
      <c r="O31" s="15" t="s">
        <v>58</v>
      </c>
      <c r="P31" s="556">
        <f>MIN(INT(($T$4*Q23)*(1+$B$33+$E$33+$B$51)*$D$25*$N$5),ReadMe!$M$94)</f>
        <v>31114</v>
      </c>
      <c r="Q31" s="1070"/>
      <c r="R31" s="87" t="s">
        <v>58</v>
      </c>
      <c r="S31" s="162">
        <f>MIN(INT(P31*$F$41),ReadMe!$M$94)</f>
        <v>46671</v>
      </c>
      <c r="T31" s="1433"/>
      <c r="U31" s="1409"/>
      <c r="W31" s="23"/>
      <c r="X31" s="143"/>
    </row>
    <row r="32" spans="2:24" ht="14.25" thickBot="1">
      <c r="B32" s="1088" t="s">
        <v>644</v>
      </c>
      <c r="C32" s="1089"/>
      <c r="D32" s="1090"/>
      <c r="E32" s="984" t="s">
        <v>551</v>
      </c>
      <c r="F32" s="976"/>
      <c r="N32" s="1205" t="s">
        <v>92</v>
      </c>
      <c r="O32" s="1254"/>
      <c r="P32" s="1254"/>
      <c r="Q32" s="1254"/>
      <c r="R32" s="1254"/>
      <c r="S32" s="1530">
        <f>(U29*T23*$T$10+U24*60+IF($A$14="true",$S$54,0))*$G$46</f>
        <v>3476745.3000000003</v>
      </c>
      <c r="T32" s="1298"/>
      <c r="U32" s="1299"/>
      <c r="W32" s="1310">
        <f>INT(S32-U29*$P$68)+$O$70*$S$68*$G$46</f>
        <v>4387786</v>
      </c>
      <c r="X32" s="1358"/>
    </row>
    <row r="33" spans="2:6" ht="13.5" customHeight="1" thickBot="1">
      <c r="B33" s="1091">
        <v>0</v>
      </c>
      <c r="C33" s="1092"/>
      <c r="D33" s="1093"/>
      <c r="E33" s="1040">
        <v>0</v>
      </c>
      <c r="F33" s="1032"/>
    </row>
    <row r="34" spans="14:24" ht="14.25" thickBot="1">
      <c r="N34" s="977" t="s">
        <v>454</v>
      </c>
      <c r="O34" s="978"/>
      <c r="P34" s="978"/>
      <c r="Q34" s="978"/>
      <c r="R34" s="978"/>
      <c r="S34" s="978"/>
      <c r="T34" s="978"/>
      <c r="U34" s="979"/>
      <c r="V34" s="99"/>
      <c r="W34" s="204"/>
      <c r="X34" s="204"/>
    </row>
    <row r="35" spans="2:22" ht="14.25" thickBot="1">
      <c r="B35" s="1047" t="s">
        <v>1120</v>
      </c>
      <c r="C35" s="1048"/>
      <c r="D35" s="1048"/>
      <c r="E35" s="535" t="s">
        <v>56</v>
      </c>
      <c r="F35" s="19" t="s">
        <v>58</v>
      </c>
      <c r="G35" s="536" t="s">
        <v>750</v>
      </c>
      <c r="I35" s="1041" t="s">
        <v>218</v>
      </c>
      <c r="J35" s="1042"/>
      <c r="K35" s="1043"/>
      <c r="N35" s="152" t="s">
        <v>293</v>
      </c>
      <c r="O35" s="153">
        <f>D8</f>
        <v>30</v>
      </c>
      <c r="P35" s="152" t="s">
        <v>104</v>
      </c>
      <c r="Q35" s="647">
        <f>(230+2*O35)/100</f>
        <v>2.9</v>
      </c>
      <c r="R35" s="220" t="s">
        <v>483</v>
      </c>
      <c r="S35" s="221">
        <v>1</v>
      </c>
      <c r="T35" s="511" t="s">
        <v>940</v>
      </c>
      <c r="U35" s="512">
        <v>32</v>
      </c>
      <c r="V35" s="22"/>
    </row>
    <row r="36" spans="2:25" ht="14.25" thickBot="1">
      <c r="B36" s="1133" t="s">
        <v>1122</v>
      </c>
      <c r="C36" s="1134"/>
      <c r="D36" s="1135"/>
      <c r="E36" s="36">
        <v>1.2</v>
      </c>
      <c r="F36" s="539">
        <v>1.5</v>
      </c>
      <c r="G36" s="260">
        <v>0.05</v>
      </c>
      <c r="I36" s="1041" t="s">
        <v>220</v>
      </c>
      <c r="J36" s="1053"/>
      <c r="K36" s="1054"/>
      <c r="N36" s="1208" t="s">
        <v>303</v>
      </c>
      <c r="O36" s="139" t="s">
        <v>56</v>
      </c>
      <c r="P36" s="149">
        <f>MIN(INT(P42*1.5),ReadMe!$M$94)</f>
        <v>39042</v>
      </c>
      <c r="Q36" s="1528" t="s">
        <v>303</v>
      </c>
      <c r="R36" s="88" t="s">
        <v>56</v>
      </c>
      <c r="S36" s="160">
        <f>MIN(INT(P36*$E$41),ReadMe!$M$94)</f>
        <v>46850</v>
      </c>
      <c r="T36" s="1518" t="s">
        <v>303</v>
      </c>
      <c r="U36" s="1408">
        <f>INT(P37*(1-$G$41)+S37*$G$41)</f>
        <v>46394</v>
      </c>
      <c r="W36" s="58"/>
      <c r="X36" s="58"/>
      <c r="Y36" s="58"/>
    </row>
    <row r="37" spans="2:25" ht="14.25" thickBot="1">
      <c r="B37" s="1051" t="s">
        <v>1117</v>
      </c>
      <c r="C37" s="1052"/>
      <c r="D37" s="548">
        <v>0</v>
      </c>
      <c r="E37" s="538"/>
      <c r="F37" s="537">
        <f>D37/100</f>
        <v>0</v>
      </c>
      <c r="G37" s="543">
        <f>IF(D37=0,0,(5+ROUNDUP(D37/2,0))/100)</f>
        <v>0</v>
      </c>
      <c r="I37" s="871" t="s">
        <v>217</v>
      </c>
      <c r="J37" s="224"/>
      <c r="K37" s="247">
        <v>0</v>
      </c>
      <c r="N37" s="1209"/>
      <c r="O37" s="44" t="s">
        <v>57</v>
      </c>
      <c r="P37" s="63">
        <f>MIN(INT(P43*1.5),ReadMe!$M$94)</f>
        <v>45549</v>
      </c>
      <c r="Q37" s="1529"/>
      <c r="R37" s="80" t="s">
        <v>57</v>
      </c>
      <c r="S37" s="161">
        <f>INT((S36+S38)/2)</f>
        <v>62467</v>
      </c>
      <c r="T37" s="1329"/>
      <c r="U37" s="1409"/>
      <c r="W37" s="58"/>
      <c r="X37" s="58"/>
      <c r="Y37" s="58"/>
    </row>
    <row r="38" spans="2:26" ht="14.25" thickBot="1">
      <c r="B38" s="1051" t="s">
        <v>1118</v>
      </c>
      <c r="C38" s="1052"/>
      <c r="D38" s="548">
        <v>0</v>
      </c>
      <c r="E38" s="538">
        <f>D38/100</f>
        <v>0</v>
      </c>
      <c r="F38" s="537"/>
      <c r="G38" s="543">
        <f>IF(D38=0,0,(5+ROUNDUP(D38/2,0))/100)</f>
        <v>0</v>
      </c>
      <c r="N38" s="1210"/>
      <c r="O38" s="15" t="s">
        <v>58</v>
      </c>
      <c r="P38" s="150">
        <f>MIN(INT(P44*1.5),ReadMe!$M$94)</f>
        <v>52056</v>
      </c>
      <c r="Q38" s="760" t="s">
        <v>324</v>
      </c>
      <c r="R38" s="268" t="s">
        <v>58</v>
      </c>
      <c r="S38" s="270">
        <f>MIN(INT(P38*$F$41),ReadMe!$M$94)</f>
        <v>78084</v>
      </c>
      <c r="T38" s="761" t="s">
        <v>140</v>
      </c>
      <c r="U38" s="1495"/>
      <c r="W38" s="1546" t="s">
        <v>387</v>
      </c>
      <c r="X38" s="1547"/>
      <c r="Y38" s="1547"/>
      <c r="Z38" s="1548"/>
    </row>
    <row r="39" spans="1:26" ht="14.25" thickBot="1">
      <c r="A39" s="421" t="b">
        <v>0</v>
      </c>
      <c r="B39" s="1051" t="s">
        <v>1119</v>
      </c>
      <c r="C39" s="1052"/>
      <c r="D39" s="544"/>
      <c r="E39" s="538"/>
      <c r="F39" s="537">
        <f>IF(H39="true",0.15,0)</f>
        <v>0</v>
      </c>
      <c r="G39" s="543">
        <f>IF(H39="true",0.1,0)</f>
        <v>0</v>
      </c>
      <c r="H39" s="421" t="str">
        <f>IF(A39=TRUE,"TRUE",IF(D39=1,"TRUE","FLASE"))</f>
        <v>FLASE</v>
      </c>
      <c r="I39" s="1058" t="s">
        <v>1163</v>
      </c>
      <c r="J39" s="1059"/>
      <c r="K39" s="896"/>
      <c r="L39" s="421" t="b">
        <v>0</v>
      </c>
      <c r="M39" s="514" t="str">
        <f>IF(L39=TRUE,"TRUE",IF(K39=1,"TRUE","FLASE"))</f>
        <v>FLASE</v>
      </c>
      <c r="N39" s="988" t="s">
        <v>102</v>
      </c>
      <c r="O39" s="85" t="s">
        <v>56</v>
      </c>
      <c r="P39" s="188">
        <f>P36*5</f>
        <v>195210</v>
      </c>
      <c r="Q39" s="1339"/>
      <c r="R39" s="1368"/>
      <c r="S39" s="1519">
        <f>(S45-IF($A$14="true",$S$54,0))*1.5+IF($A$14="true",$S$54,0)</f>
        <v>9154984</v>
      </c>
      <c r="T39" s="1520"/>
      <c r="U39" s="1521"/>
      <c r="W39" s="1068" t="s">
        <v>384</v>
      </c>
      <c r="X39" s="1469"/>
      <c r="Y39" s="1068" t="s">
        <v>385</v>
      </c>
      <c r="Z39" s="1037"/>
    </row>
    <row r="40" spans="2:26" ht="14.25" thickBot="1">
      <c r="B40" s="1055" t="s">
        <v>1121</v>
      </c>
      <c r="C40" s="1056"/>
      <c r="D40" s="1057"/>
      <c r="E40" s="545">
        <v>0</v>
      </c>
      <c r="F40" s="546">
        <v>0</v>
      </c>
      <c r="G40" s="547">
        <v>0</v>
      </c>
      <c r="I40" s="637" t="s">
        <v>787</v>
      </c>
      <c r="J40" s="893"/>
      <c r="K40" s="894">
        <v>0</v>
      </c>
      <c r="N40" s="1051"/>
      <c r="O40" s="179" t="s">
        <v>140</v>
      </c>
      <c r="P40" s="705">
        <f>U36*5</f>
        <v>231970</v>
      </c>
      <c r="Q40" s="595" t="s">
        <v>67</v>
      </c>
      <c r="R40" s="596"/>
      <c r="S40" s="1522"/>
      <c r="T40" s="1523"/>
      <c r="U40" s="1524"/>
      <c r="W40" s="1531">
        <f>INT(S39-U36*$P$68)+$O$70*$S$68*$G$46</f>
        <v>10059026</v>
      </c>
      <c r="X40" s="1121"/>
      <c r="Y40" s="1531">
        <f>INT(S39-U36*$P$68)+$Q$70*$S$68*$G$46</f>
        <v>10519746</v>
      </c>
      <c r="Z40" s="1122"/>
    </row>
    <row r="41" spans="2:26" ht="14.25" thickBot="1">
      <c r="B41" s="1044" t="s">
        <v>1123</v>
      </c>
      <c r="C41" s="1045"/>
      <c r="D41" s="1046"/>
      <c r="E41" s="540">
        <f>E36+MAX(E38,E39)+E40</f>
        <v>1.2</v>
      </c>
      <c r="F41" s="541">
        <f>F36+MAX(F37,F39)+F40</f>
        <v>1.5</v>
      </c>
      <c r="G41" s="542">
        <f>G36+MAX(G37,G38,G39)+G40</f>
        <v>0.05</v>
      </c>
      <c r="I41" s="1060" t="s">
        <v>530</v>
      </c>
      <c r="J41" s="1061"/>
      <c r="K41" s="895">
        <f>IF(M39="true",IF(K40&gt;0,10+ROUNDUP(K40/3,0),11)/100,0)</f>
        <v>0</v>
      </c>
      <c r="L41" s="342"/>
      <c r="M41" s="342"/>
      <c r="N41" s="989"/>
      <c r="O41" s="95" t="s">
        <v>58</v>
      </c>
      <c r="P41" s="190">
        <f>S38*5</f>
        <v>390420</v>
      </c>
      <c r="Q41" s="1106" t="s">
        <v>90</v>
      </c>
      <c r="R41" s="1107"/>
      <c r="S41" s="1525"/>
      <c r="T41" s="1526"/>
      <c r="U41" s="1527"/>
      <c r="W41" s="799"/>
      <c r="X41" s="768"/>
      <c r="Y41" s="1549"/>
      <c r="Z41" s="1550"/>
    </row>
    <row r="42" spans="2:26" ht="14.25" thickBot="1">
      <c r="B42" s="1136" t="s">
        <v>135</v>
      </c>
      <c r="C42" s="1137"/>
      <c r="D42" s="1138"/>
      <c r="E42" s="1011">
        <f>(($E$41+$F$41)/2-1)*$G$41+1</f>
        <v>1.0175</v>
      </c>
      <c r="F42" s="1012"/>
      <c r="G42" s="1005"/>
      <c r="N42" s="988" t="s">
        <v>131</v>
      </c>
      <c r="O42" s="77" t="s">
        <v>56</v>
      </c>
      <c r="P42" s="554">
        <f>MIN(INT(($R$4*Q35)*(1+$B$33+$E$33+$B$51)*$D$25*$O$5),ReadMe!$M$94)</f>
        <v>26028</v>
      </c>
      <c r="Q42" s="975" t="s">
        <v>406</v>
      </c>
      <c r="R42" s="194" t="s">
        <v>56</v>
      </c>
      <c r="S42" s="160">
        <f>MIN(INT(P42*$E$41),ReadMe!$M$94)</f>
        <v>31233</v>
      </c>
      <c r="T42" s="1432" t="s">
        <v>127</v>
      </c>
      <c r="U42" s="1408">
        <f>INT(P43*(1-$G$41)+S43*$G$41)</f>
        <v>30929</v>
      </c>
      <c r="W42" s="237"/>
      <c r="X42" s="416"/>
      <c r="Y42" s="416"/>
      <c r="Z42" s="238"/>
    </row>
    <row r="43" spans="9:26" ht="14.25" thickBot="1">
      <c r="I43" s="1075" t="s">
        <v>1188</v>
      </c>
      <c r="J43" s="1076"/>
      <c r="K43" s="1077"/>
      <c r="N43" s="1051"/>
      <c r="O43" s="44" t="s">
        <v>57</v>
      </c>
      <c r="P43" s="555">
        <f>INT((P42+P44)/2)</f>
        <v>30366</v>
      </c>
      <c r="Q43" s="1069"/>
      <c r="R43" s="80" t="s">
        <v>57</v>
      </c>
      <c r="S43" s="161">
        <f>INT((S42+S44)/2)</f>
        <v>41644</v>
      </c>
      <c r="T43" s="1433"/>
      <c r="U43" s="1409"/>
      <c r="W43" s="23"/>
      <c r="X43" s="22"/>
      <c r="Y43" s="22"/>
      <c r="Z43" s="143"/>
    </row>
    <row r="44" spans="2:26" ht="14.25" thickBot="1">
      <c r="B44" s="1049" t="s">
        <v>416</v>
      </c>
      <c r="C44" s="1050"/>
      <c r="D44" s="566">
        <v>125</v>
      </c>
      <c r="E44" s="1147" t="s">
        <v>417</v>
      </c>
      <c r="F44" s="1148"/>
      <c r="G44" s="26">
        <f>IF(D2&gt;D44,0,$D$44-$D$2)</f>
        <v>0</v>
      </c>
      <c r="I44" s="439" t="s">
        <v>1189</v>
      </c>
      <c r="J44" s="572"/>
      <c r="K44" s="223">
        <v>0</v>
      </c>
      <c r="L44" s="342"/>
      <c r="M44" s="342"/>
      <c r="N44" s="989"/>
      <c r="O44" s="15" t="s">
        <v>58</v>
      </c>
      <c r="P44" s="556">
        <f>MIN(INT(($T$4*Q35)*(1+$B$33+$E$33+$B$51)*$D$25*$O$5),ReadMe!$M$94)</f>
        <v>34704</v>
      </c>
      <c r="Q44" s="1070"/>
      <c r="R44" s="87" t="s">
        <v>58</v>
      </c>
      <c r="S44" s="162">
        <f>MIN(INT(P44*$F$41),ReadMe!$M$94)</f>
        <v>52056</v>
      </c>
      <c r="T44" s="1433"/>
      <c r="U44" s="1409"/>
      <c r="W44" s="145"/>
      <c r="X44" s="592"/>
      <c r="Y44" s="592"/>
      <c r="Z44" s="239"/>
    </row>
    <row r="45" spans="2:26" ht="14.25" thickBot="1">
      <c r="B45" s="1006" t="s">
        <v>450</v>
      </c>
      <c r="C45" s="1007"/>
      <c r="D45" s="9">
        <v>12</v>
      </c>
      <c r="E45" s="1006" t="s">
        <v>452</v>
      </c>
      <c r="F45" s="1007"/>
      <c r="G45" s="665">
        <f>IF(G44&gt;0,"-",D45)</f>
        <v>12</v>
      </c>
      <c r="I45" s="440" t="s">
        <v>1190</v>
      </c>
      <c r="J45" s="573"/>
      <c r="K45" s="441">
        <f>IF(K44&gt;0,(K44+10)/100,0)</f>
        <v>0</v>
      </c>
      <c r="N45" s="988" t="s">
        <v>102</v>
      </c>
      <c r="O45" s="85" t="s">
        <v>56</v>
      </c>
      <c r="P45" s="188">
        <f>P42*5</f>
        <v>130140</v>
      </c>
      <c r="Q45" s="1339"/>
      <c r="R45" s="1368"/>
      <c r="S45" s="1519">
        <f>(P46*U35*$T$10+IF($A$14="true",$S$54,0))*$G$46</f>
        <v>6103322.666666667</v>
      </c>
      <c r="T45" s="1520"/>
      <c r="U45" s="1521"/>
      <c r="W45" s="1210" t="s">
        <v>386</v>
      </c>
      <c r="X45" s="1551"/>
      <c r="Y45" s="1068" t="s">
        <v>385</v>
      </c>
      <c r="Z45" s="1037"/>
    </row>
    <row r="46" spans="2:26" ht="14.25" thickBot="1">
      <c r="B46" s="997" t="s">
        <v>415</v>
      </c>
      <c r="C46" s="998"/>
      <c r="D46" s="9">
        <v>0</v>
      </c>
      <c r="E46" s="1006" t="s">
        <v>451</v>
      </c>
      <c r="F46" s="1007"/>
      <c r="G46" s="543">
        <f>MAX((MIN(100+SQRT($K$28)-SQRT($D$45),100)-5*G44)/100,0)</f>
        <v>1</v>
      </c>
      <c r="N46" s="1051"/>
      <c r="O46" s="179" t="s">
        <v>140</v>
      </c>
      <c r="P46" s="705">
        <f>U42*5</f>
        <v>154645</v>
      </c>
      <c r="Q46" s="595" t="s">
        <v>67</v>
      </c>
      <c r="R46" s="596"/>
      <c r="S46" s="1522"/>
      <c r="T46" s="1523"/>
      <c r="U46" s="1524"/>
      <c r="W46" s="1531">
        <f>INT(S45-U42*$P$68)+$O$70*$S$68*$G$46</f>
        <v>7013164</v>
      </c>
      <c r="X46" s="1121"/>
      <c r="Y46" s="1531">
        <f>INT(S45-U42*$P$68)+$Q$70*$S$68*$G$46</f>
        <v>7473884</v>
      </c>
      <c r="Z46" s="1122"/>
    </row>
    <row r="47" spans="2:26" ht="14.25" thickBot="1">
      <c r="B47" s="1008" t="s">
        <v>642</v>
      </c>
      <c r="C47" s="1009"/>
      <c r="D47" s="567">
        <v>0.25</v>
      </c>
      <c r="E47" s="1145" t="s">
        <v>643</v>
      </c>
      <c r="F47" s="1146"/>
      <c r="G47" s="29">
        <f>1-(D47*(1-K45))</f>
        <v>0.75</v>
      </c>
      <c r="I47" s="1003" t="s">
        <v>1110</v>
      </c>
      <c r="J47" s="1004"/>
      <c r="K47" s="996"/>
      <c r="L47" s="342"/>
      <c r="M47" s="168"/>
      <c r="N47" s="989"/>
      <c r="O47" s="95" t="s">
        <v>58</v>
      </c>
      <c r="P47" s="190">
        <f>S44*5</f>
        <v>260280</v>
      </c>
      <c r="Q47" s="1106" t="s">
        <v>91</v>
      </c>
      <c r="R47" s="1107"/>
      <c r="S47" s="1525"/>
      <c r="T47" s="1526"/>
      <c r="U47" s="1527"/>
      <c r="W47" s="800"/>
      <c r="X47" s="769"/>
      <c r="Y47" s="1549"/>
      <c r="Z47" s="1550"/>
    </row>
    <row r="48" spans="4:25" ht="14.25" thickBot="1">
      <c r="D48" s="421">
        <f>$D$46*(1-($K$45+$B$31))</f>
        <v>0</v>
      </c>
      <c r="I48" s="1083" t="s">
        <v>652</v>
      </c>
      <c r="J48" s="1084"/>
      <c r="K48" s="493"/>
      <c r="L48" s="514" t="b">
        <v>0</v>
      </c>
      <c r="M48" s="514" t="str">
        <f>IF(L48=TRUE,"TRUE",IF(K48=1,"TRUE","FLASE"))</f>
        <v>FLASE</v>
      </c>
      <c r="W48" s="62"/>
      <c r="X48" s="62"/>
      <c r="Y48" s="62"/>
    </row>
    <row r="49" spans="2:25" ht="14.25" thickBot="1">
      <c r="B49" s="1078" t="s">
        <v>749</v>
      </c>
      <c r="C49" s="1079"/>
      <c r="D49" s="1080"/>
      <c r="I49" s="994" t="s">
        <v>653</v>
      </c>
      <c r="J49" s="995"/>
      <c r="K49" s="494"/>
      <c r="L49" s="514" t="b">
        <v>0</v>
      </c>
      <c r="M49" s="514" t="str">
        <f>IF(L49=TRUE,"TRUE",IF(K49=1,"TRUE","FLASE"))</f>
        <v>FLASE</v>
      </c>
      <c r="N49" s="977" t="s">
        <v>93</v>
      </c>
      <c r="O49" s="978"/>
      <c r="P49" s="978"/>
      <c r="Q49" s="978"/>
      <c r="R49" s="978"/>
      <c r="S49" s="978"/>
      <c r="T49" s="978"/>
      <c r="U49" s="979"/>
      <c r="W49" s="58"/>
      <c r="X49" s="60"/>
      <c r="Y49" s="60"/>
    </row>
    <row r="50" spans="2:25" ht="14.25" thickBot="1">
      <c r="B50" s="999" t="s">
        <v>551</v>
      </c>
      <c r="C50" s="1000"/>
      <c r="D50" s="1001"/>
      <c r="I50" s="1002" t="s">
        <v>530</v>
      </c>
      <c r="J50" s="993"/>
      <c r="K50" s="225">
        <f>IF(M48="TRUE",1.04,IF(M49="TRUE",1.02,1))</f>
        <v>1</v>
      </c>
      <c r="L50" s="352"/>
      <c r="M50" s="352"/>
      <c r="N50" s="147" t="s">
        <v>293</v>
      </c>
      <c r="O50" s="66">
        <v>10</v>
      </c>
      <c r="P50" s="147" t="s">
        <v>104</v>
      </c>
      <c r="Q50" s="650">
        <v>3</v>
      </c>
      <c r="R50" s="1538" t="s">
        <v>199</v>
      </c>
      <c r="S50" s="1541"/>
      <c r="T50" s="243">
        <v>98</v>
      </c>
      <c r="U50" s="822" t="s">
        <v>762</v>
      </c>
      <c r="W50" s="58"/>
      <c r="X50" s="60"/>
      <c r="Y50" s="60"/>
    </row>
    <row r="51" spans="2:25" ht="14.25" thickBot="1">
      <c r="B51" s="1142">
        <v>0</v>
      </c>
      <c r="C51" s="1143"/>
      <c r="D51" s="1144"/>
      <c r="N51" s="988" t="s">
        <v>131</v>
      </c>
      <c r="O51" s="77" t="s">
        <v>56</v>
      </c>
      <c r="P51" s="554">
        <f>MIN(INT(($R$4*Q50)*(1+$B$33+$E$33+$B$51)*$D$25),ReadMe!$M$94)</f>
        <v>26925</v>
      </c>
      <c r="Q51" s="975" t="s">
        <v>406</v>
      </c>
      <c r="R51" s="194" t="s">
        <v>56</v>
      </c>
      <c r="S51" s="160">
        <f>MIN(INT(P51*$E$41),ReadMe!$M$94)</f>
        <v>32310</v>
      </c>
      <c r="T51" s="1432" t="s">
        <v>127</v>
      </c>
      <c r="U51" s="1408">
        <f>INT(P52*(1-$G$41)+S52*$G$41)</f>
        <v>31996</v>
      </c>
      <c r="W51" s="58"/>
      <c r="X51" s="328"/>
      <c r="Y51" s="60"/>
    </row>
    <row r="52" spans="14:25" ht="14.25" thickBot="1">
      <c r="N52" s="1051"/>
      <c r="O52" s="44" t="s">
        <v>57</v>
      </c>
      <c r="P52" s="555">
        <f>INT((P51+P53)/2)</f>
        <v>31413</v>
      </c>
      <c r="Q52" s="1069"/>
      <c r="R52" s="80" t="s">
        <v>57</v>
      </c>
      <c r="S52" s="161">
        <f>INT((S51+S53)/2)</f>
        <v>43080</v>
      </c>
      <c r="T52" s="1433"/>
      <c r="U52" s="1409"/>
      <c r="W52" s="62"/>
      <c r="X52" s="62"/>
      <c r="Y52" s="62"/>
    </row>
    <row r="53" spans="2:25" ht="14.25" thickBot="1">
      <c r="B53" s="1023" t="s">
        <v>64</v>
      </c>
      <c r="C53" s="1024"/>
      <c r="D53" s="1024"/>
      <c r="E53" s="1024"/>
      <c r="F53" s="1024"/>
      <c r="G53" s="1024"/>
      <c r="H53" s="1024"/>
      <c r="I53" s="1024"/>
      <c r="J53" s="1024"/>
      <c r="K53" s="1024"/>
      <c r="L53" s="1025"/>
      <c r="N53" s="989"/>
      <c r="O53" s="15" t="s">
        <v>58</v>
      </c>
      <c r="P53" s="556">
        <f>MIN(INT(($T$4*Q50)*(1+$B$33+$E$33+$B$51)*$D$25),ReadMe!$M$94)</f>
        <v>35901</v>
      </c>
      <c r="Q53" s="1070"/>
      <c r="R53" s="87" t="s">
        <v>58</v>
      </c>
      <c r="S53" s="162">
        <f>MIN(INT(P53*$F$41),ReadMe!$M$94)</f>
        <v>53851</v>
      </c>
      <c r="T53" s="1433"/>
      <c r="U53" s="1409"/>
      <c r="W53" s="58"/>
      <c r="X53" s="60"/>
      <c r="Y53" s="60"/>
    </row>
    <row r="54" spans="2:25" ht="14.25" thickBot="1">
      <c r="B54" s="1018" t="s">
        <v>312</v>
      </c>
      <c r="C54" s="1019"/>
      <c r="D54" s="1020"/>
      <c r="E54" s="1020"/>
      <c r="F54" s="1020"/>
      <c r="G54" s="1020"/>
      <c r="H54" s="1020"/>
      <c r="I54" s="1020"/>
      <c r="J54" s="1020"/>
      <c r="K54" s="1021"/>
      <c r="L54" s="1016"/>
      <c r="N54" s="1205" t="s">
        <v>94</v>
      </c>
      <c r="O54" s="1254"/>
      <c r="P54" s="1254"/>
      <c r="Q54" s="1254"/>
      <c r="R54" s="1254"/>
      <c r="S54" s="1530">
        <f>U51*T50*$T$10*$G$46</f>
        <v>3867249.8666666667</v>
      </c>
      <c r="T54" s="1298"/>
      <c r="U54" s="1299"/>
      <c r="W54" s="58"/>
      <c r="X54" s="60"/>
      <c r="Y54" s="60"/>
    </row>
    <row r="55" spans="2:25" ht="14.25" thickBot="1">
      <c r="B55" s="1017" t="s">
        <v>313</v>
      </c>
      <c r="C55" s="1015"/>
      <c r="D55" s="1013"/>
      <c r="E55" s="1013"/>
      <c r="F55" s="1013"/>
      <c r="G55" s="1013"/>
      <c r="H55" s="1013"/>
      <c r="I55" s="1013"/>
      <c r="J55" s="1013"/>
      <c r="K55" s="1014"/>
      <c r="L55" s="1010"/>
      <c r="W55" s="58"/>
      <c r="X55" s="328"/>
      <c r="Y55" s="60"/>
    </row>
    <row r="56" spans="2:25" ht="14.25" thickBot="1">
      <c r="B56" s="1017" t="s">
        <v>763</v>
      </c>
      <c r="C56" s="1015"/>
      <c r="D56" s="1013"/>
      <c r="E56" s="1013"/>
      <c r="F56" s="1013"/>
      <c r="G56" s="1013"/>
      <c r="H56" s="1013"/>
      <c r="I56" s="1013"/>
      <c r="J56" s="1013"/>
      <c r="K56" s="1014"/>
      <c r="L56" s="1010"/>
      <c r="N56" s="977" t="s">
        <v>1095</v>
      </c>
      <c r="O56" s="978"/>
      <c r="P56" s="978"/>
      <c r="Q56" s="978"/>
      <c r="R56" s="978"/>
      <c r="S56" s="978"/>
      <c r="T56" s="978"/>
      <c r="U56" s="979"/>
      <c r="W56" s="62"/>
      <c r="X56" s="62"/>
      <c r="Y56" s="62"/>
    </row>
    <row r="57" spans="2:25" ht="14.25" thickBot="1">
      <c r="B57" s="1017" t="s">
        <v>764</v>
      </c>
      <c r="C57" s="1015"/>
      <c r="D57" s="1013"/>
      <c r="E57" s="1013"/>
      <c r="F57" s="1013"/>
      <c r="G57" s="1013"/>
      <c r="H57" s="1013"/>
      <c r="I57" s="1013"/>
      <c r="J57" s="1013"/>
      <c r="K57" s="1014"/>
      <c r="L57" s="1010"/>
      <c r="N57" s="152" t="s">
        <v>293</v>
      </c>
      <c r="O57" s="153">
        <f>D7</f>
        <v>30</v>
      </c>
      <c r="P57" s="152" t="s">
        <v>104</v>
      </c>
      <c r="Q57" s="655">
        <f>(800+20*O57)/100</f>
        <v>14</v>
      </c>
      <c r="R57" s="1542" t="s">
        <v>446</v>
      </c>
      <c r="S57" s="1543"/>
      <c r="T57" s="752">
        <f>60-2*INT(O57/2)</f>
        <v>30</v>
      </c>
      <c r="U57" s="219"/>
      <c r="W57" s="58"/>
      <c r="X57" s="58"/>
      <c r="Y57" s="58"/>
    </row>
    <row r="58" spans="2:25" ht="14.25" thickBot="1">
      <c r="B58" s="1017" t="s">
        <v>363</v>
      </c>
      <c r="C58" s="1015"/>
      <c r="D58" s="1013"/>
      <c r="E58" s="1013"/>
      <c r="F58" s="1013"/>
      <c r="G58" s="1013"/>
      <c r="H58" s="1013"/>
      <c r="I58" s="1013"/>
      <c r="J58" s="1013"/>
      <c r="K58" s="1014"/>
      <c r="L58" s="1010"/>
      <c r="N58" s="1068" t="s">
        <v>327</v>
      </c>
      <c r="O58" s="1036"/>
      <c r="P58" s="750">
        <f>(85+4*O57)/100</f>
        <v>2.05</v>
      </c>
      <c r="Q58" s="17" t="s">
        <v>908</v>
      </c>
      <c r="R58" s="84">
        <f>5+INT(O57/6)</f>
        <v>10</v>
      </c>
      <c r="S58" s="1068" t="s">
        <v>326</v>
      </c>
      <c r="T58" s="1036"/>
      <c r="U58" s="747">
        <f>INT(P4*P58*N5)</f>
        <v>21806</v>
      </c>
      <c r="W58" s="58"/>
      <c r="X58" s="58"/>
      <c r="Y58" s="58"/>
    </row>
    <row r="59" spans="2:21" ht="14.25" thickBot="1">
      <c r="B59" s="1029" t="s">
        <v>364</v>
      </c>
      <c r="C59" s="1030"/>
      <c r="D59" s="1031"/>
      <c r="E59" s="1031"/>
      <c r="F59" s="1031"/>
      <c r="G59" s="1031"/>
      <c r="H59" s="1031"/>
      <c r="I59" s="1031"/>
      <c r="J59" s="1031"/>
      <c r="K59" s="1026"/>
      <c r="L59" s="1022"/>
      <c r="N59" s="1208" t="s">
        <v>303</v>
      </c>
      <c r="O59" s="139" t="s">
        <v>56</v>
      </c>
      <c r="P59" s="149">
        <f>MIN(INT(P62*1.5),ReadMe!$M$94)</f>
        <v>188479</v>
      </c>
      <c r="Q59" s="1528" t="s">
        <v>303</v>
      </c>
      <c r="R59" s="88" t="s">
        <v>56</v>
      </c>
      <c r="S59" s="160">
        <f>MIN(INT(P59*$E$41),ReadMe!$M$94)</f>
        <v>226174</v>
      </c>
      <c r="T59" s="1518" t="s">
        <v>303</v>
      </c>
      <c r="U59" s="1408">
        <f>INT(P60*(1-$G$41)+S60*$G$41)</f>
        <v>223975</v>
      </c>
    </row>
    <row r="60" spans="14:21" ht="13.5">
      <c r="N60" s="1209"/>
      <c r="O60" s="44" t="s">
        <v>57</v>
      </c>
      <c r="P60" s="63">
        <f>MIN(INT(P63*1.5),ReadMe!$M$94)</f>
        <v>219892</v>
      </c>
      <c r="Q60" s="1529"/>
      <c r="R60" s="80" t="s">
        <v>57</v>
      </c>
      <c r="S60" s="161">
        <f>INT((S59+S61)/2)</f>
        <v>301567</v>
      </c>
      <c r="T60" s="1329"/>
      <c r="U60" s="1409"/>
    </row>
    <row r="61" spans="14:21" ht="14.25" thickBot="1">
      <c r="N61" s="1210"/>
      <c r="O61" s="15" t="s">
        <v>58</v>
      </c>
      <c r="P61" s="150">
        <f>MIN(INT(P64*1.5),ReadMe!$M$94)</f>
        <v>251307</v>
      </c>
      <c r="Q61" s="183" t="s">
        <v>324</v>
      </c>
      <c r="R61" s="87" t="s">
        <v>58</v>
      </c>
      <c r="S61" s="162">
        <f>MIN(INT(P61*$F$41),ReadMe!$M$94)</f>
        <v>376960</v>
      </c>
      <c r="T61" s="184" t="s">
        <v>140</v>
      </c>
      <c r="U61" s="1409"/>
    </row>
    <row r="62" spans="14:21" ht="13.5">
      <c r="N62" s="988" t="s">
        <v>131</v>
      </c>
      <c r="O62" s="77" t="s">
        <v>56</v>
      </c>
      <c r="P62" s="554">
        <f>MIN(INT(($R$4*Q57)*(1+$B$33+$E$33+$B$51)*$D$25*$N$5),ReadMe!$M$94)</f>
        <v>125653</v>
      </c>
      <c r="Q62" s="975" t="s">
        <v>406</v>
      </c>
      <c r="R62" s="194" t="s">
        <v>56</v>
      </c>
      <c r="S62" s="160">
        <f>MIN(INT(P62*$E$41),ReadMe!$M$94)</f>
        <v>150783</v>
      </c>
      <c r="T62" s="1432" t="s">
        <v>127</v>
      </c>
      <c r="U62" s="1408">
        <f>INT(P63*(1-$G$41)+S63*$G$41)</f>
        <v>149317</v>
      </c>
    </row>
    <row r="63" spans="14:21" ht="13.5">
      <c r="N63" s="1051"/>
      <c r="O63" s="44" t="s">
        <v>57</v>
      </c>
      <c r="P63" s="555">
        <f>INT((P62+P64)/2)</f>
        <v>146595</v>
      </c>
      <c r="Q63" s="1069"/>
      <c r="R63" s="80" t="s">
        <v>57</v>
      </c>
      <c r="S63" s="161">
        <f>INT((S62+S64)/2)</f>
        <v>201045</v>
      </c>
      <c r="T63" s="1433"/>
      <c r="U63" s="1409"/>
    </row>
    <row r="64" spans="14:21" ht="14.25" thickBot="1">
      <c r="N64" s="989"/>
      <c r="O64" s="15" t="s">
        <v>58</v>
      </c>
      <c r="P64" s="556">
        <f>MIN(INT(($T$4*Q57)*(1+$B$33+$E$33+$B$51)*$D$25*$N$5),ReadMe!$M$94)</f>
        <v>167538</v>
      </c>
      <c r="Q64" s="1070"/>
      <c r="R64" s="87" t="s">
        <v>58</v>
      </c>
      <c r="S64" s="162">
        <f>MIN(INT(P64*$F$41),ReadMe!$M$94)</f>
        <v>251307</v>
      </c>
      <c r="T64" s="1433"/>
      <c r="U64" s="1409"/>
    </row>
    <row r="65" ht="14.25" thickBot="1"/>
    <row r="66" spans="14:19" ht="14.25" thickBot="1">
      <c r="N66" s="977" t="s">
        <v>328</v>
      </c>
      <c r="O66" s="978"/>
      <c r="P66" s="978"/>
      <c r="Q66" s="978"/>
      <c r="R66" s="978"/>
      <c r="S66" s="979"/>
    </row>
    <row r="67" spans="14:19" ht="14.25" thickBot="1">
      <c r="N67" s="310" t="s">
        <v>293</v>
      </c>
      <c r="O67" s="290">
        <f>D9</f>
        <v>30</v>
      </c>
      <c r="P67" s="259" t="s">
        <v>104</v>
      </c>
      <c r="Q67" s="428">
        <f>(180+5*O67)/100</f>
        <v>3.3</v>
      </c>
      <c r="R67" s="14" t="s">
        <v>545</v>
      </c>
      <c r="S67" s="16">
        <f>O67*5+10</f>
        <v>160</v>
      </c>
    </row>
    <row r="68" spans="14:19" ht="14.25" thickBot="1">
      <c r="N68" s="1205" t="s">
        <v>710</v>
      </c>
      <c r="O68" s="1315"/>
      <c r="P68" s="329">
        <f>60/S67</f>
        <v>0.375</v>
      </c>
      <c r="Q68" s="1318" t="s">
        <v>732</v>
      </c>
      <c r="R68" s="1319"/>
      <c r="S68" s="84">
        <v>20</v>
      </c>
    </row>
    <row r="69" spans="14:17" ht="13.5">
      <c r="N69" s="311" t="s">
        <v>704</v>
      </c>
      <c r="O69" s="4">
        <f>MIN(INT(($N$4*Q67)*(1+$B$33+$E$33+$B$51)*$D$25),ReadMe!$M$94)</f>
        <v>39491</v>
      </c>
      <c r="P69" s="311" t="s">
        <v>679</v>
      </c>
      <c r="Q69" s="4">
        <f>MIN(INT(O69*1.5),ReadMe!$M$94)</f>
        <v>59236</v>
      </c>
    </row>
    <row r="70" spans="14:17" ht="13.5">
      <c r="N70" s="7" t="s">
        <v>705</v>
      </c>
      <c r="O70" s="45">
        <f>INT((O69+O71)/2)</f>
        <v>46072</v>
      </c>
      <c r="P70" s="7" t="s">
        <v>680</v>
      </c>
      <c r="Q70" s="45">
        <f>MIN(INT(O70*1.5),ReadMe!$M$94)</f>
        <v>69108</v>
      </c>
    </row>
    <row r="71" spans="14:17" ht="14.25" thickBot="1">
      <c r="N71" s="14" t="s">
        <v>706</v>
      </c>
      <c r="O71" s="148">
        <f>MIN(INT(($P$4*Q67)*(1+$B$33+$E$33+$B$51)*$D$25),ReadMe!$M$94)</f>
        <v>52654</v>
      </c>
      <c r="P71" s="14" t="s">
        <v>681</v>
      </c>
      <c r="Q71" s="148">
        <f>MIN(INT(O71*1.5),ReadMe!$M$94)</f>
        <v>78981</v>
      </c>
    </row>
    <row r="72" ht="14.25" thickBot="1"/>
    <row r="73" spans="14:19" ht="14.25" thickBot="1">
      <c r="N73" s="1062" t="s">
        <v>1050</v>
      </c>
      <c r="O73" s="1063"/>
      <c r="P73" s="1213"/>
      <c r="Q73" s="1213"/>
      <c r="R73" s="1213"/>
      <c r="S73" s="1064"/>
    </row>
    <row r="74" spans="14:18" ht="14.25" thickBot="1">
      <c r="N74" s="490" t="s">
        <v>113</v>
      </c>
      <c r="O74" s="487">
        <v>0.75</v>
      </c>
      <c r="P74" s="1068" t="s">
        <v>713</v>
      </c>
      <c r="Q74" s="1036"/>
      <c r="R74" s="332" t="s">
        <v>1193</v>
      </c>
    </row>
    <row r="75" spans="14:19" ht="14.25" thickBot="1">
      <c r="N75" s="1205" t="s">
        <v>959</v>
      </c>
      <c r="O75" s="1206"/>
      <c r="P75" s="777">
        <v>1</v>
      </c>
      <c r="Q75" s="1320" t="s">
        <v>997</v>
      </c>
      <c r="R75" s="1321"/>
      <c r="S75" s="332">
        <v>1</v>
      </c>
    </row>
    <row r="76" spans="14:19" ht="13.5">
      <c r="N76" s="988" t="s">
        <v>131</v>
      </c>
      <c r="O76" s="77" t="s">
        <v>56</v>
      </c>
      <c r="P76" s="554">
        <f>MIN(INT(($R$4*P75)*(1+$B$33+$E$33+$B$51)*$D$25*IF(R74="氷",$N$5,$O$5)),ReadMe!$M$94)</f>
        <v>8975</v>
      </c>
      <c r="Q76" s="975" t="s">
        <v>406</v>
      </c>
      <c r="R76" s="194" t="s">
        <v>56</v>
      </c>
      <c r="S76" s="160">
        <f>MIN(INT(P76*$E$41),ReadMe!$M$94)</f>
        <v>10770</v>
      </c>
    </row>
    <row r="77" spans="14:19" ht="13.5">
      <c r="N77" s="1051"/>
      <c r="O77" s="44" t="s">
        <v>57</v>
      </c>
      <c r="P77" s="555">
        <f>INT((P76+P78)/2)</f>
        <v>10471</v>
      </c>
      <c r="Q77" s="1069"/>
      <c r="R77" s="80" t="s">
        <v>57</v>
      </c>
      <c r="S77" s="161">
        <f>INT((S76+S78)/2)</f>
        <v>14360</v>
      </c>
    </row>
    <row r="78" spans="14:19" ht="14.25" thickBot="1">
      <c r="N78" s="989"/>
      <c r="O78" s="15" t="s">
        <v>58</v>
      </c>
      <c r="P78" s="556">
        <f>MIN(INT(($T$4*P75)*(1+$B$33+$E$33+$B$51)*$D$25*IF(R74="氷",$N$5,$O$5)),ReadMe!$M$94)</f>
        <v>11967</v>
      </c>
      <c r="Q78" s="1070"/>
      <c r="R78" s="87" t="s">
        <v>58</v>
      </c>
      <c r="S78" s="162">
        <f>MIN(INT(P78*$F$41),ReadMe!$M$94)</f>
        <v>17950</v>
      </c>
    </row>
    <row r="79" spans="14:19" ht="14.25" thickBot="1">
      <c r="N79" s="1065" t="s">
        <v>127</v>
      </c>
      <c r="O79" s="1066"/>
      <c r="P79" s="1067"/>
      <c r="Q79" s="1065">
        <f>INT(P77*(1-$G$41)+S77*$G$41)</f>
        <v>10665</v>
      </c>
      <c r="R79" s="1066"/>
      <c r="S79" s="1067"/>
    </row>
    <row r="80" spans="14:19" ht="14.25" thickBot="1">
      <c r="N80" s="1065" t="s">
        <v>407</v>
      </c>
      <c r="O80" s="1066"/>
      <c r="P80" s="1067"/>
      <c r="Q80" s="1294">
        <f>Q79*S75</f>
        <v>10665</v>
      </c>
      <c r="R80" s="1295"/>
      <c r="S80" s="1296"/>
    </row>
  </sheetData>
  <sheetProtection/>
  <protectedRanges>
    <protectedRange sqref="D44:D45 D47" name="範囲1_1_1"/>
  </protectedRanges>
  <mergeCells count="159">
    <mergeCell ref="I39:J39"/>
    <mergeCell ref="I41:J41"/>
    <mergeCell ref="Y47:Z47"/>
    <mergeCell ref="Y41:Z41"/>
    <mergeCell ref="Y45:Z45"/>
    <mergeCell ref="W46:X46"/>
    <mergeCell ref="Y40:Z40"/>
    <mergeCell ref="Y46:Z46"/>
    <mergeCell ref="W45:X45"/>
    <mergeCell ref="N45:N47"/>
    <mergeCell ref="W27:X27"/>
    <mergeCell ref="W40:X40"/>
    <mergeCell ref="W38:Z38"/>
    <mergeCell ref="W39:X39"/>
    <mergeCell ref="Y39:Z39"/>
    <mergeCell ref="W28:X28"/>
    <mergeCell ref="Y15:Z15"/>
    <mergeCell ref="Y16:Z16"/>
    <mergeCell ref="Y20:Z20"/>
    <mergeCell ref="W19:X19"/>
    <mergeCell ref="Y19:Z19"/>
    <mergeCell ref="W20:X20"/>
    <mergeCell ref="W16:X16"/>
    <mergeCell ref="N80:P80"/>
    <mergeCell ref="Q80:S80"/>
    <mergeCell ref="N79:P79"/>
    <mergeCell ref="Q79:S79"/>
    <mergeCell ref="N76:N78"/>
    <mergeCell ref="Q76:Q78"/>
    <mergeCell ref="N73:S73"/>
    <mergeCell ref="P74:Q74"/>
    <mergeCell ref="N75:O75"/>
    <mergeCell ref="Q75:R75"/>
    <mergeCell ref="U59:U61"/>
    <mergeCell ref="N62:N64"/>
    <mergeCell ref="Q62:Q64"/>
    <mergeCell ref="T62:T64"/>
    <mergeCell ref="U62:U64"/>
    <mergeCell ref="S58:T58"/>
    <mergeCell ref="N59:N61"/>
    <mergeCell ref="Q59:Q60"/>
    <mergeCell ref="T59:T60"/>
    <mergeCell ref="N58:O58"/>
    <mergeCell ref="N54:R54"/>
    <mergeCell ref="S54:U54"/>
    <mergeCell ref="N56:U56"/>
    <mergeCell ref="R57:S57"/>
    <mergeCell ref="N49:U49"/>
    <mergeCell ref="R50:S50"/>
    <mergeCell ref="N51:N53"/>
    <mergeCell ref="Q51:Q53"/>
    <mergeCell ref="T51:T53"/>
    <mergeCell ref="U51:U53"/>
    <mergeCell ref="Q45:R45"/>
    <mergeCell ref="S45:U47"/>
    <mergeCell ref="Q47:R47"/>
    <mergeCell ref="N42:N44"/>
    <mergeCell ref="Q42:Q44"/>
    <mergeCell ref="T42:T44"/>
    <mergeCell ref="U42:U44"/>
    <mergeCell ref="N39:N41"/>
    <mergeCell ref="Q39:R39"/>
    <mergeCell ref="S39:U41"/>
    <mergeCell ref="Q41:R41"/>
    <mergeCell ref="N36:N38"/>
    <mergeCell ref="Q36:Q37"/>
    <mergeCell ref="T36:T37"/>
    <mergeCell ref="U36:U38"/>
    <mergeCell ref="N34:U34"/>
    <mergeCell ref="W32:X32"/>
    <mergeCell ref="N28:R28"/>
    <mergeCell ref="S28:U28"/>
    <mergeCell ref="Q29:Q31"/>
    <mergeCell ref="T29:T31"/>
    <mergeCell ref="U29:U31"/>
    <mergeCell ref="N25:N27"/>
    <mergeCell ref="Q25:Q26"/>
    <mergeCell ref="T25:T26"/>
    <mergeCell ref="N32:R32"/>
    <mergeCell ref="S32:U32"/>
    <mergeCell ref="U25:U27"/>
    <mergeCell ref="T17:T19"/>
    <mergeCell ref="U13:U15"/>
    <mergeCell ref="R23:S23"/>
    <mergeCell ref="N24:O24"/>
    <mergeCell ref="S24:T24"/>
    <mergeCell ref="S20:U20"/>
    <mergeCell ref="U17:U19"/>
    <mergeCell ref="N17:N19"/>
    <mergeCell ref="Q17:Q19"/>
    <mergeCell ref="W14:Z14"/>
    <mergeCell ref="W15:X15"/>
    <mergeCell ref="N66:S66"/>
    <mergeCell ref="N68:O68"/>
    <mergeCell ref="Q68:R68"/>
    <mergeCell ref="N13:N15"/>
    <mergeCell ref="Q13:Q14"/>
    <mergeCell ref="N16:R16"/>
    <mergeCell ref="S16:U16"/>
    <mergeCell ref="N20:R20"/>
    <mergeCell ref="R2:T2"/>
    <mergeCell ref="B47:C47"/>
    <mergeCell ref="E47:F47"/>
    <mergeCell ref="B49:D49"/>
    <mergeCell ref="B45:C45"/>
    <mergeCell ref="E45:F45"/>
    <mergeCell ref="B32:D32"/>
    <mergeCell ref="B33:D33"/>
    <mergeCell ref="E33:F33"/>
    <mergeCell ref="I35:K35"/>
    <mergeCell ref="I50:J50"/>
    <mergeCell ref="B46:C46"/>
    <mergeCell ref="T7:U7"/>
    <mergeCell ref="T8:U9"/>
    <mergeCell ref="B35:D35"/>
    <mergeCell ref="E32:F32"/>
    <mergeCell ref="B36:D36"/>
    <mergeCell ref="I43:K43"/>
    <mergeCell ref="B38:C38"/>
    <mergeCell ref="B39:C39"/>
    <mergeCell ref="B59:L59"/>
    <mergeCell ref="B58:L58"/>
    <mergeCell ref="I48:J48"/>
    <mergeCell ref="B44:C44"/>
    <mergeCell ref="E44:F44"/>
    <mergeCell ref="I49:J49"/>
    <mergeCell ref="B56:L56"/>
    <mergeCell ref="B57:L57"/>
    <mergeCell ref="B55:L55"/>
    <mergeCell ref="I47:K47"/>
    <mergeCell ref="F1:P1"/>
    <mergeCell ref="N29:N31"/>
    <mergeCell ref="B29:K29"/>
    <mergeCell ref="B30:D30"/>
    <mergeCell ref="E30:F30"/>
    <mergeCell ref="B31:D31"/>
    <mergeCell ref="E31:F31"/>
    <mergeCell ref="N8:O8"/>
    <mergeCell ref="N22:T22"/>
    <mergeCell ref="N9:O9"/>
    <mergeCell ref="B40:D40"/>
    <mergeCell ref="B41:D41"/>
    <mergeCell ref="B42:D42"/>
    <mergeCell ref="B37:C37"/>
    <mergeCell ref="B54:L54"/>
    <mergeCell ref="B2:C2"/>
    <mergeCell ref="B26:C26"/>
    <mergeCell ref="N2:P2"/>
    <mergeCell ref="B53:L53"/>
    <mergeCell ref="E42:G42"/>
    <mergeCell ref="E46:F46"/>
    <mergeCell ref="B51:D51"/>
    <mergeCell ref="B50:D50"/>
    <mergeCell ref="I36:K36"/>
    <mergeCell ref="N11:T11"/>
    <mergeCell ref="T13:T14"/>
    <mergeCell ref="N6:U6"/>
    <mergeCell ref="N7:O7"/>
    <mergeCell ref="R12:S12"/>
  </mergeCells>
  <printOptions/>
  <pageMargins left="0.75" right="0.75" top="1" bottom="1" header="0.512" footer="0.512"/>
  <pageSetup horizontalDpi="300" verticalDpi="300" orientation="portrait" paperSize="9" r:id="rId2"/>
  <ignoredErrors>
    <ignoredError sqref="G27:J27" formulaRange="1"/>
  </ignoredErrors>
  <legacyDrawing r:id="rId1"/>
</worksheet>
</file>

<file path=xl/worksheets/sheet11.xml><?xml version="1.0" encoding="utf-8"?>
<worksheet xmlns="http://schemas.openxmlformats.org/spreadsheetml/2006/main" xmlns:r="http://schemas.openxmlformats.org/officeDocument/2006/relationships">
  <dimension ref="A1:AB79"/>
  <sheetViews>
    <sheetView workbookViewId="0" topLeftCell="A1">
      <selection activeCell="A1" sqref="A1"/>
    </sheetView>
  </sheetViews>
  <sheetFormatPr defaultColWidth="9.00390625" defaultRowHeight="13.5"/>
  <cols>
    <col min="1" max="1" width="2.625" style="0" customWidth="1"/>
    <col min="2" max="11" width="5.625" style="0" customWidth="1"/>
    <col min="12" max="13" width="2.625" style="0" customWidth="1"/>
    <col min="22" max="22" width="1.625" style="0" customWidth="1"/>
  </cols>
  <sheetData>
    <row r="1" spans="6:16" ht="24.75" thickBot="1">
      <c r="F1" s="990" t="s">
        <v>320</v>
      </c>
      <c r="G1" s="990"/>
      <c r="H1" s="990"/>
      <c r="I1" s="990"/>
      <c r="J1" s="990"/>
      <c r="K1" s="990"/>
      <c r="L1" s="990"/>
      <c r="M1" s="990"/>
      <c r="N1" s="990"/>
      <c r="O1" s="990"/>
      <c r="P1" s="990"/>
    </row>
    <row r="2" spans="2:20" ht="14.25" thickBot="1">
      <c r="B2" s="1078" t="s">
        <v>306</v>
      </c>
      <c r="C2" s="1094"/>
      <c r="D2" s="142">
        <v>150</v>
      </c>
      <c r="E2" s="1"/>
      <c r="F2" s="3" t="s">
        <v>301</v>
      </c>
      <c r="G2" s="3" t="s">
        <v>283</v>
      </c>
      <c r="H2" s="3" t="s">
        <v>284</v>
      </c>
      <c r="I2" s="3" t="s">
        <v>286</v>
      </c>
      <c r="J2" s="3" t="s">
        <v>285</v>
      </c>
      <c r="K2" s="4" t="s">
        <v>430</v>
      </c>
      <c r="N2" s="991" t="s">
        <v>104</v>
      </c>
      <c r="O2" s="992"/>
      <c r="P2" s="987"/>
      <c r="Q2" s="58"/>
      <c r="R2" s="991" t="s">
        <v>418</v>
      </c>
      <c r="S2" s="992"/>
      <c r="T2" s="987"/>
    </row>
    <row r="3" spans="2:20" ht="14.25" thickBot="1">
      <c r="B3" s="14" t="s">
        <v>40</v>
      </c>
      <c r="C3" s="571"/>
      <c r="D3" s="16">
        <f>((D2-1)*5+IF(D2&gt;=120,35,IF(D2&gt;=70,30,25)))-(G3+H3+J3+I3)</f>
        <v>0</v>
      </c>
      <c r="E3" s="7" t="s">
        <v>41</v>
      </c>
      <c r="F3" s="8"/>
      <c r="G3" s="8">
        <v>4</v>
      </c>
      <c r="H3" s="8">
        <v>4</v>
      </c>
      <c r="I3" s="8">
        <v>697</v>
      </c>
      <c r="J3" s="8">
        <v>75</v>
      </c>
      <c r="K3" s="9"/>
      <c r="N3" s="10" t="s">
        <v>69</v>
      </c>
      <c r="O3" s="11" t="s">
        <v>70</v>
      </c>
      <c r="P3" s="12" t="s">
        <v>71</v>
      </c>
      <c r="R3" s="10" t="s">
        <v>952</v>
      </c>
      <c r="S3" s="11" t="s">
        <v>953</v>
      </c>
      <c r="T3" s="12" t="s">
        <v>954</v>
      </c>
    </row>
    <row r="4" spans="2:20" ht="14.25" thickBot="1">
      <c r="B4" s="154"/>
      <c r="C4" s="60"/>
      <c r="D4" s="155"/>
      <c r="E4" s="7" t="s">
        <v>42</v>
      </c>
      <c r="F4" s="8">
        <v>143</v>
      </c>
      <c r="G4" s="8"/>
      <c r="H4" s="8"/>
      <c r="I4" s="8">
        <v>14</v>
      </c>
      <c r="J4" s="8"/>
      <c r="K4" s="9"/>
      <c r="N4" s="14">
        <f>P4*0.55</f>
        <v>4677.651</v>
      </c>
      <c r="O4" s="15">
        <f>(P4+N4)/2</f>
        <v>6591.2355</v>
      </c>
      <c r="P4" s="16">
        <f>$Q$4*($F$28+INT(($F$28-$F$25)*$E$31)+INT($F$28*($K$41+$K$50-1)))/100</f>
        <v>8504.82</v>
      </c>
      <c r="Q4" s="421">
        <f>1*(4*$I$28+$J$28)</f>
        <v>3831</v>
      </c>
      <c r="R4" s="14">
        <f>N4*$G$47*(1-$G$44/100)</f>
        <v>3508.23825</v>
      </c>
      <c r="S4" s="15">
        <f>O4*$G$47*(1-$G$44/100)</f>
        <v>4943.426625</v>
      </c>
      <c r="T4" s="16">
        <f>P4*$G$47*(1-$G$44/100)</f>
        <v>6378.615</v>
      </c>
    </row>
    <row r="5" spans="2:22" ht="14.25" thickBot="1">
      <c r="B5" s="156" t="s">
        <v>321</v>
      </c>
      <c r="C5" s="773"/>
      <c r="D5" s="142">
        <v>30</v>
      </c>
      <c r="E5" s="43" t="s">
        <v>44</v>
      </c>
      <c r="F5" s="8">
        <v>18</v>
      </c>
      <c r="G5" s="8"/>
      <c r="H5" s="8"/>
      <c r="I5" s="8">
        <v>9</v>
      </c>
      <c r="J5" s="8"/>
      <c r="K5" s="9"/>
      <c r="V5" s="58"/>
    </row>
    <row r="6" spans="2:22" ht="14.25" thickBot="1">
      <c r="B6" s="7" t="s">
        <v>322</v>
      </c>
      <c r="C6" s="44"/>
      <c r="D6" s="9">
        <v>30</v>
      </c>
      <c r="E6" s="43" t="s">
        <v>45</v>
      </c>
      <c r="F6" s="8"/>
      <c r="G6" s="8">
        <v>10</v>
      </c>
      <c r="H6" s="8">
        <v>10</v>
      </c>
      <c r="I6" s="8">
        <v>20</v>
      </c>
      <c r="J6" s="8">
        <v>10</v>
      </c>
      <c r="K6" s="9"/>
      <c r="N6" s="977" t="s">
        <v>85</v>
      </c>
      <c r="O6" s="978"/>
      <c r="P6" s="978"/>
      <c r="Q6" s="978"/>
      <c r="R6" s="978"/>
      <c r="S6" s="978"/>
      <c r="T6" s="978"/>
      <c r="U6" s="979"/>
      <c r="V6" s="58"/>
    </row>
    <row r="7" spans="2:21" ht="14.25" thickBot="1">
      <c r="B7" s="7" t="s">
        <v>455</v>
      </c>
      <c r="C7" s="44"/>
      <c r="D7" s="9">
        <v>1</v>
      </c>
      <c r="E7" s="43" t="s">
        <v>46</v>
      </c>
      <c r="F7" s="8"/>
      <c r="G7" s="8"/>
      <c r="H7" s="8"/>
      <c r="I7" s="8"/>
      <c r="J7" s="8"/>
      <c r="K7" s="9"/>
      <c r="N7" s="1308" t="s">
        <v>446</v>
      </c>
      <c r="O7" s="1540"/>
      <c r="P7" s="415">
        <v>180</v>
      </c>
      <c r="Q7" s="10" t="s">
        <v>551</v>
      </c>
      <c r="R7" s="11"/>
      <c r="S7" s="260">
        <f>INT(D9/3)/100</f>
        <v>0.1</v>
      </c>
      <c r="T7" s="1336" t="s">
        <v>89</v>
      </c>
      <c r="U7" s="1359"/>
    </row>
    <row r="8" spans="2:28" ht="14.25" thickBot="1">
      <c r="B8" s="5" t="s">
        <v>748</v>
      </c>
      <c r="C8" s="69"/>
      <c r="D8" s="298">
        <v>30</v>
      </c>
      <c r="E8" s="43" t="s">
        <v>47</v>
      </c>
      <c r="F8" s="8"/>
      <c r="G8" s="8"/>
      <c r="H8" s="8"/>
      <c r="I8" s="8">
        <v>7</v>
      </c>
      <c r="J8" s="8"/>
      <c r="K8" s="9"/>
      <c r="N8" s="1051" t="s">
        <v>545</v>
      </c>
      <c r="O8" s="1052"/>
      <c r="P8" s="42">
        <f>IF(D9=0,0,(10+D9)*(1+D25*0.05))</f>
        <v>60</v>
      </c>
      <c r="Q8" s="7" t="s">
        <v>86</v>
      </c>
      <c r="R8" s="44"/>
      <c r="S8" s="543">
        <f>S7*P9</f>
        <v>1.4000000000000001</v>
      </c>
      <c r="T8" s="1534">
        <f>(P8/P7)*S9</f>
        <v>0.23333333333333334</v>
      </c>
      <c r="U8" s="1535"/>
      <c r="V8" s="99"/>
      <c r="Z8" s="99"/>
      <c r="AB8" s="99"/>
    </row>
    <row r="9" spans="1:26" ht="14.25" thickBot="1">
      <c r="A9" s="421" t="b">
        <v>1</v>
      </c>
      <c r="B9" s="37" t="s">
        <v>96</v>
      </c>
      <c r="C9" s="654"/>
      <c r="D9" s="142">
        <v>30</v>
      </c>
      <c r="E9" s="43" t="s">
        <v>48</v>
      </c>
      <c r="F9" s="8"/>
      <c r="G9" s="8">
        <v>7</v>
      </c>
      <c r="H9" s="8">
        <v>7</v>
      </c>
      <c r="I9" s="8">
        <v>7</v>
      </c>
      <c r="J9" s="8">
        <v>7</v>
      </c>
      <c r="K9" s="9"/>
      <c r="N9" s="989" t="s">
        <v>87</v>
      </c>
      <c r="O9" s="1378"/>
      <c r="P9" s="47">
        <f>MAX(INT(P8/4)-1,0)</f>
        <v>14</v>
      </c>
      <c r="Q9" s="14" t="s">
        <v>88</v>
      </c>
      <c r="R9" s="15"/>
      <c r="S9" s="29">
        <f>S8/2</f>
        <v>0.7000000000000001</v>
      </c>
      <c r="T9" s="1536"/>
      <c r="U9" s="1537"/>
      <c r="V9" s="58"/>
      <c r="Z9" s="60"/>
    </row>
    <row r="10" spans="1:26" ht="14.25" thickBot="1">
      <c r="A10" s="421" t="str">
        <f>IF(A9=TRUE,"TRUE",IF(D10=1,"TRUE","FLASE"))</f>
        <v>TRUE</v>
      </c>
      <c r="B10" s="14" t="s">
        <v>765</v>
      </c>
      <c r="C10" s="15"/>
      <c r="D10" s="533"/>
      <c r="E10" s="43" t="s">
        <v>49</v>
      </c>
      <c r="F10" s="8">
        <v>16</v>
      </c>
      <c r="G10" s="8"/>
      <c r="H10" s="8"/>
      <c r="I10" s="8">
        <v>9</v>
      </c>
      <c r="J10" s="8"/>
      <c r="K10" s="9"/>
      <c r="T10" s="421">
        <f>IF(A10="true",1+T8,1)</f>
        <v>1.2333333333333334</v>
      </c>
      <c r="V10" s="58"/>
      <c r="Z10" s="62"/>
    </row>
    <row r="11" spans="2:26" ht="14.25" thickBot="1">
      <c r="B11" s="330" t="s">
        <v>1090</v>
      </c>
      <c r="C11" s="331"/>
      <c r="D11" s="774"/>
      <c r="E11" s="7" t="s">
        <v>390</v>
      </c>
      <c r="F11" s="8"/>
      <c r="G11" s="8"/>
      <c r="H11" s="8"/>
      <c r="I11" s="8">
        <v>20</v>
      </c>
      <c r="J11" s="8">
        <v>10</v>
      </c>
      <c r="K11" s="9"/>
      <c r="N11" s="977" t="s">
        <v>323</v>
      </c>
      <c r="O11" s="978"/>
      <c r="P11" s="978"/>
      <c r="Q11" s="978"/>
      <c r="R11" s="978"/>
      <c r="S11" s="978"/>
      <c r="T11" s="978"/>
      <c r="U11" s="979"/>
      <c r="V11" s="58"/>
      <c r="Z11" s="58"/>
    </row>
    <row r="12" spans="1:26" ht="14.25" thickBot="1">
      <c r="A12" s="421" t="b">
        <v>0</v>
      </c>
      <c r="B12" s="330" t="s">
        <v>1092</v>
      </c>
      <c r="C12" s="331"/>
      <c r="D12" s="219"/>
      <c r="E12" s="7" t="s">
        <v>339</v>
      </c>
      <c r="F12" s="8"/>
      <c r="G12" s="8"/>
      <c r="H12" s="8"/>
      <c r="I12" s="8"/>
      <c r="J12" s="8"/>
      <c r="K12" s="9"/>
      <c r="N12" s="147" t="s">
        <v>307</v>
      </c>
      <c r="O12" s="66">
        <f>D5</f>
        <v>30</v>
      </c>
      <c r="P12" s="147" t="s">
        <v>104</v>
      </c>
      <c r="Q12" s="650">
        <f>(540+6*O12)/100</f>
        <v>7.2</v>
      </c>
      <c r="R12" s="1538" t="s">
        <v>199</v>
      </c>
      <c r="S12" s="1541"/>
      <c r="T12" s="182">
        <v>74</v>
      </c>
      <c r="U12" s="143"/>
      <c r="V12" s="58"/>
      <c r="Z12" s="58"/>
    </row>
    <row r="13" spans="1:26" ht="14.25" thickBot="1">
      <c r="A13" s="421" t="str">
        <f>IF(A12=TRUE,"TRUE",IF(D13=1,"TRUE","FLASE"))</f>
        <v>FLASE</v>
      </c>
      <c r="B13" s="330" t="s">
        <v>1091</v>
      </c>
      <c r="C13" s="331"/>
      <c r="D13" s="640"/>
      <c r="E13" s="7" t="s">
        <v>389</v>
      </c>
      <c r="F13" s="8"/>
      <c r="G13" s="8"/>
      <c r="H13" s="8"/>
      <c r="I13" s="8"/>
      <c r="J13" s="8"/>
      <c r="K13" s="9"/>
      <c r="N13" s="1208" t="s">
        <v>303</v>
      </c>
      <c r="O13" s="139" t="s">
        <v>56</v>
      </c>
      <c r="P13" s="149">
        <f>MIN(INT(P17*1.5),ReadMe!$M$94)</f>
        <v>37888</v>
      </c>
      <c r="Q13" s="1528" t="s">
        <v>303</v>
      </c>
      <c r="R13" s="88" t="s">
        <v>56</v>
      </c>
      <c r="S13" s="160">
        <f>MIN(INT(P13*$E$41),ReadMe!$M$94)</f>
        <v>45465</v>
      </c>
      <c r="T13" s="1552" t="s">
        <v>303</v>
      </c>
      <c r="U13" s="1408">
        <f>INT(P14*(1-($G$41))+S14*($G$41))</f>
        <v>64944</v>
      </c>
      <c r="V13" s="58"/>
      <c r="Z13" s="60"/>
    </row>
    <row r="14" spans="2:26" ht="13.5" customHeight="1" thickBot="1">
      <c r="B14" s="237"/>
      <c r="C14" s="416"/>
      <c r="D14" s="238"/>
      <c r="E14" s="43" t="s">
        <v>59</v>
      </c>
      <c r="F14" s="8"/>
      <c r="G14" s="8"/>
      <c r="H14" s="8"/>
      <c r="I14" s="8">
        <v>8</v>
      </c>
      <c r="J14" s="8">
        <v>8</v>
      </c>
      <c r="K14" s="9"/>
      <c r="N14" s="1209"/>
      <c r="O14" s="44" t="s">
        <v>57</v>
      </c>
      <c r="P14" s="63">
        <f>MIN(INT(P18*1.5),ReadMe!$M$94)</f>
        <v>53388</v>
      </c>
      <c r="Q14" s="1529"/>
      <c r="R14" s="80" t="s">
        <v>57</v>
      </c>
      <c r="S14" s="161">
        <f>INT((S13+S15)/2)</f>
        <v>74399</v>
      </c>
      <c r="T14" s="1473"/>
      <c r="U14" s="1409"/>
      <c r="V14" s="58"/>
      <c r="W14" s="1546" t="s">
        <v>751</v>
      </c>
      <c r="X14" s="1547"/>
      <c r="Y14" s="1548"/>
      <c r="Z14" s="62"/>
    </row>
    <row r="15" spans="2:26" ht="14.25" thickBot="1">
      <c r="B15" s="23"/>
      <c r="C15" s="22"/>
      <c r="D15" s="143"/>
      <c r="E15" s="43" t="s">
        <v>60</v>
      </c>
      <c r="F15" s="8">
        <v>8</v>
      </c>
      <c r="G15" s="8"/>
      <c r="H15" s="8"/>
      <c r="I15" s="8">
        <v>8</v>
      </c>
      <c r="J15" s="8"/>
      <c r="K15" s="9"/>
      <c r="N15" s="1210"/>
      <c r="O15" s="15" t="s">
        <v>58</v>
      </c>
      <c r="P15" s="150">
        <f>MIN(INT(P19*1.5),ReadMe!$M$94)</f>
        <v>68889</v>
      </c>
      <c r="Q15" s="183" t="s">
        <v>324</v>
      </c>
      <c r="R15" s="87" t="s">
        <v>58</v>
      </c>
      <c r="S15" s="162">
        <f>MIN(INT(P15*$F$41),ReadMe!$M$94)</f>
        <v>103333</v>
      </c>
      <c r="T15" s="184" t="s">
        <v>140</v>
      </c>
      <c r="U15" s="1459"/>
      <c r="V15" s="58"/>
      <c r="W15" s="1289" t="s">
        <v>752</v>
      </c>
      <c r="X15" s="1290"/>
      <c r="Y15" s="1291"/>
      <c r="Z15" s="58"/>
    </row>
    <row r="16" spans="2:26" ht="14.25" thickBot="1">
      <c r="B16" s="23"/>
      <c r="C16" s="22"/>
      <c r="D16" s="143"/>
      <c r="E16" s="43" t="s">
        <v>61</v>
      </c>
      <c r="F16" s="8">
        <v>5</v>
      </c>
      <c r="G16" s="8"/>
      <c r="H16" s="8"/>
      <c r="I16" s="8">
        <v>8</v>
      </c>
      <c r="J16" s="8"/>
      <c r="K16" s="9"/>
      <c r="N16" s="1205" t="s">
        <v>95</v>
      </c>
      <c r="O16" s="1254"/>
      <c r="P16" s="1254"/>
      <c r="Q16" s="1336"/>
      <c r="R16" s="1336"/>
      <c r="S16" s="1530">
        <f>(U13*T12*$T$10+IF($A$13="true",$S$31,0))*$G$46</f>
        <v>5927222.4</v>
      </c>
      <c r="T16" s="1298"/>
      <c r="U16" s="1299"/>
      <c r="V16" s="58"/>
      <c r="W16" s="1306">
        <f>INT(S16-U13*$P$68)+$S$70*$S$68</f>
        <v>6841575</v>
      </c>
      <c r="X16" s="1307"/>
      <c r="Y16" s="1553"/>
      <c r="Z16" s="58"/>
    </row>
    <row r="17" spans="2:26" ht="13.5">
      <c r="B17" s="141"/>
      <c r="C17" s="58"/>
      <c r="D17" s="144"/>
      <c r="E17" s="43" t="s">
        <v>1059</v>
      </c>
      <c r="F17" s="8"/>
      <c r="G17" s="8">
        <v>3</v>
      </c>
      <c r="H17" s="8">
        <v>3</v>
      </c>
      <c r="I17" s="8">
        <v>3</v>
      </c>
      <c r="J17" s="8">
        <v>3</v>
      </c>
      <c r="K17" s="9"/>
      <c r="N17" s="988" t="s">
        <v>131</v>
      </c>
      <c r="O17" s="77" t="s">
        <v>56</v>
      </c>
      <c r="P17" s="554">
        <f>MIN(INT(($R$4*Q12)*(1+$B$33+$E$33+$B$51)),ReadMe!$M$94)</f>
        <v>25259</v>
      </c>
      <c r="Q17" s="975" t="s">
        <v>406</v>
      </c>
      <c r="R17" s="194" t="s">
        <v>56</v>
      </c>
      <c r="S17" s="160">
        <f>MIN(INT(P17*$E$41),ReadMe!$M$94)</f>
        <v>30310</v>
      </c>
      <c r="T17" s="1432" t="s">
        <v>127</v>
      </c>
      <c r="U17" s="1481">
        <f>INT(P18*(1-($G$41))+S18*($G$41))</f>
        <v>43295</v>
      </c>
      <c r="V17" s="58"/>
      <c r="W17" s="330"/>
      <c r="X17" s="331"/>
      <c r="Y17" s="219"/>
      <c r="Z17" s="60"/>
    </row>
    <row r="18" spans="2:26" ht="14.25" thickBot="1">
      <c r="B18" s="141"/>
      <c r="C18" s="58"/>
      <c r="D18" s="144"/>
      <c r="E18" s="43" t="s">
        <v>1059</v>
      </c>
      <c r="F18" s="8">
        <v>1</v>
      </c>
      <c r="G18" s="8">
        <v>1</v>
      </c>
      <c r="H18" s="8">
        <v>1</v>
      </c>
      <c r="I18" s="8">
        <v>1</v>
      </c>
      <c r="J18" s="8">
        <v>1</v>
      </c>
      <c r="K18" s="9"/>
      <c r="N18" s="1051"/>
      <c r="O18" s="44" t="s">
        <v>57</v>
      </c>
      <c r="P18" s="555">
        <f>INT((P17+P19)/2)</f>
        <v>35592</v>
      </c>
      <c r="Q18" s="1069"/>
      <c r="R18" s="80" t="s">
        <v>57</v>
      </c>
      <c r="S18" s="161">
        <f>INT((S17+S19)/2)</f>
        <v>49599</v>
      </c>
      <c r="T18" s="1433"/>
      <c r="U18" s="1409"/>
      <c r="V18" s="58"/>
      <c r="W18" s="330"/>
      <c r="X18" s="331"/>
      <c r="Y18" s="219"/>
      <c r="Z18" s="60"/>
    </row>
    <row r="19" spans="1:26" ht="14.25" thickBot="1">
      <c r="A19" s="58"/>
      <c r="B19" s="141"/>
      <c r="C19" s="58"/>
      <c r="D19" s="144"/>
      <c r="E19" s="43" t="s">
        <v>1059</v>
      </c>
      <c r="F19" s="8">
        <v>1</v>
      </c>
      <c r="G19" s="8">
        <v>1</v>
      </c>
      <c r="H19" s="8">
        <v>1</v>
      </c>
      <c r="I19" s="8">
        <v>1</v>
      </c>
      <c r="J19" s="8">
        <v>1</v>
      </c>
      <c r="K19" s="9"/>
      <c r="N19" s="989"/>
      <c r="O19" s="15" t="s">
        <v>58</v>
      </c>
      <c r="P19" s="556">
        <f>MIN(INT(($T$4*Q12)*(1+$B$33+$E$33+$B$51)),ReadMe!$M$94)</f>
        <v>45926</v>
      </c>
      <c r="Q19" s="1070"/>
      <c r="R19" s="87" t="s">
        <v>58</v>
      </c>
      <c r="S19" s="162">
        <f>MIN(INT(P19*$F$41),ReadMe!$M$94)</f>
        <v>68889</v>
      </c>
      <c r="T19" s="1433"/>
      <c r="U19" s="1409"/>
      <c r="V19" s="58"/>
      <c r="W19" s="1289" t="s">
        <v>753</v>
      </c>
      <c r="X19" s="1290"/>
      <c r="Y19" s="1291"/>
      <c r="Z19" s="60"/>
    </row>
    <row r="20" spans="1:26" ht="14.25" thickBot="1">
      <c r="A20" s="58"/>
      <c r="B20" s="141"/>
      <c r="C20" s="58"/>
      <c r="D20" s="144"/>
      <c r="E20" s="43" t="s">
        <v>1059</v>
      </c>
      <c r="F20" s="8"/>
      <c r="G20" s="8"/>
      <c r="H20" s="8"/>
      <c r="I20" s="8"/>
      <c r="J20" s="8"/>
      <c r="K20" s="9"/>
      <c r="N20" s="1205" t="s">
        <v>94</v>
      </c>
      <c r="O20" s="1254"/>
      <c r="P20" s="1254"/>
      <c r="Q20" s="1254"/>
      <c r="R20" s="1254"/>
      <c r="S20" s="1530">
        <f>(U17*T12*$T$10+IF($A$13="true",$S$31,0))*$G$46</f>
        <v>3951390.3333333335</v>
      </c>
      <c r="T20" s="1298"/>
      <c r="U20" s="1299"/>
      <c r="V20" s="58"/>
      <c r="W20" s="1297">
        <f>INT(S20-U17*$P$68)+$Q$70*$S$68*$G$46</f>
        <v>4560959</v>
      </c>
      <c r="X20" s="1298"/>
      <c r="Y20" s="1299"/>
      <c r="Z20" s="60"/>
    </row>
    <row r="21" spans="1:26" ht="13.5">
      <c r="A21" s="58"/>
      <c r="B21" s="141"/>
      <c r="C21" s="58"/>
      <c r="D21" s="144"/>
      <c r="E21" s="43" t="s">
        <v>970</v>
      </c>
      <c r="F21" s="8"/>
      <c r="G21" s="8">
        <v>2</v>
      </c>
      <c r="H21" s="8">
        <v>2</v>
      </c>
      <c r="I21" s="8">
        <v>2</v>
      </c>
      <c r="J21" s="8">
        <v>2</v>
      </c>
      <c r="K21" s="9"/>
      <c r="N21" s="988" t="s">
        <v>302</v>
      </c>
      <c r="O21" s="139" t="s">
        <v>56</v>
      </c>
      <c r="P21" s="149">
        <f>MIN(INT(P17*0.5),ReadMe!$M$94)</f>
        <v>12629</v>
      </c>
      <c r="Q21" s="1529" t="s">
        <v>303</v>
      </c>
      <c r="R21" s="79" t="s">
        <v>56</v>
      </c>
      <c r="S21" s="663">
        <f>MIN(INT(P21*$E$41),ReadMe!$M$94)</f>
        <v>15154</v>
      </c>
      <c r="T21" s="1552" t="s">
        <v>303</v>
      </c>
      <c r="U21" s="1481">
        <f>INT(P22*(1-($G$41))+S22*($G$41))</f>
        <v>21647</v>
      </c>
      <c r="V21" s="58"/>
      <c r="W21" s="330"/>
      <c r="X21" s="331"/>
      <c r="Y21" s="219"/>
      <c r="Z21" s="60"/>
    </row>
    <row r="22" spans="1:26" ht="14.25" thickBot="1">
      <c r="A22" s="58"/>
      <c r="B22" s="141"/>
      <c r="C22" s="58"/>
      <c r="D22" s="144"/>
      <c r="E22" s="43" t="s">
        <v>972</v>
      </c>
      <c r="F22" s="8"/>
      <c r="G22" s="8">
        <v>3</v>
      </c>
      <c r="H22" s="8">
        <v>3</v>
      </c>
      <c r="I22" s="8">
        <v>3</v>
      </c>
      <c r="J22" s="8">
        <v>3</v>
      </c>
      <c r="K22" s="9">
        <v>20</v>
      </c>
      <c r="N22" s="1051"/>
      <c r="O22" s="44" t="s">
        <v>57</v>
      </c>
      <c r="P22" s="63">
        <f>MIN(INT(P18*0.5),ReadMe!$M$94)</f>
        <v>17796</v>
      </c>
      <c r="Q22" s="1529"/>
      <c r="R22" s="80" t="s">
        <v>57</v>
      </c>
      <c r="S22" s="161">
        <f>INT((S21+S23)/2)</f>
        <v>24799</v>
      </c>
      <c r="T22" s="1473"/>
      <c r="U22" s="1409"/>
      <c r="V22" s="60"/>
      <c r="W22" s="330"/>
      <c r="X22" s="331"/>
      <c r="Y22" s="219"/>
      <c r="Z22" s="60"/>
    </row>
    <row r="23" spans="1:26" ht="14.25" thickBot="1">
      <c r="A23" s="711"/>
      <c r="B23" s="141"/>
      <c r="C23" s="58"/>
      <c r="D23" s="498"/>
      <c r="E23" s="43" t="s">
        <v>1210</v>
      </c>
      <c r="F23" s="8"/>
      <c r="G23" s="8"/>
      <c r="H23" s="8"/>
      <c r="I23" s="8"/>
      <c r="J23" s="8"/>
      <c r="K23" s="9"/>
      <c r="N23" s="989"/>
      <c r="O23" s="15" t="s">
        <v>58</v>
      </c>
      <c r="P23" s="150">
        <f>MIN(INT(P19*0.5),ReadMe!$M$94)</f>
        <v>22963</v>
      </c>
      <c r="Q23" s="183" t="s">
        <v>324</v>
      </c>
      <c r="R23" s="87" t="s">
        <v>58</v>
      </c>
      <c r="S23" s="162">
        <f>MIN(INT(P23*$F$41),ReadMe!$M$94)</f>
        <v>34444</v>
      </c>
      <c r="T23" s="184" t="s">
        <v>140</v>
      </c>
      <c r="U23" s="1409"/>
      <c r="V23" s="99"/>
      <c r="W23" s="1289" t="s">
        <v>754</v>
      </c>
      <c r="X23" s="1290"/>
      <c r="Y23" s="1291"/>
      <c r="Z23" s="60"/>
    </row>
    <row r="24" spans="1:26" ht="14.25" thickBot="1">
      <c r="A24" s="711"/>
      <c r="B24" s="145"/>
      <c r="C24" s="592"/>
      <c r="D24" s="764"/>
      <c r="E24" s="43" t="s">
        <v>1061</v>
      </c>
      <c r="F24" s="8"/>
      <c r="G24" s="8"/>
      <c r="H24" s="8"/>
      <c r="I24" s="8"/>
      <c r="J24" s="8"/>
      <c r="K24" s="9"/>
      <c r="N24" s="1205" t="s">
        <v>405</v>
      </c>
      <c r="O24" s="1254"/>
      <c r="P24" s="1254"/>
      <c r="Q24" s="1336"/>
      <c r="R24" s="1336"/>
      <c r="S24" s="1530">
        <f>(U21*T12*$T$10+IF($A$13="true",$S$31,0))*$G$46</f>
        <v>1975649.5333333334</v>
      </c>
      <c r="T24" s="1298"/>
      <c r="U24" s="1299"/>
      <c r="V24" s="58"/>
      <c r="W24" s="1306">
        <f>INT(S24-U21*$P$68)+$O$70*$S$68</f>
        <v>2280434</v>
      </c>
      <c r="X24" s="1307"/>
      <c r="Y24" s="1553"/>
      <c r="Z24" s="60"/>
    </row>
    <row r="25" spans="2:26" ht="14.25" customHeight="1" thickBot="1">
      <c r="B25" s="652" t="s">
        <v>331</v>
      </c>
      <c r="C25" s="653"/>
      <c r="D25" s="375">
        <v>10</v>
      </c>
      <c r="E25" s="7" t="s">
        <v>823</v>
      </c>
      <c r="F25" s="8"/>
      <c r="G25" s="8"/>
      <c r="H25" s="8"/>
      <c r="I25" s="8"/>
      <c r="J25" s="8"/>
      <c r="K25" s="9"/>
      <c r="Z25" s="62"/>
    </row>
    <row r="26" spans="2:21" ht="14.25" thickBot="1">
      <c r="B26" s="1245" t="s">
        <v>319</v>
      </c>
      <c r="C26" s="1246"/>
      <c r="D26" s="20">
        <v>9</v>
      </c>
      <c r="E26" s="235" t="s">
        <v>975</v>
      </c>
      <c r="F26" s="8">
        <v>20</v>
      </c>
      <c r="G26" s="41">
        <f>ROUNDDOWN(G3*D27%,0)</f>
        <v>0</v>
      </c>
      <c r="H26" s="41">
        <f>ROUNDDOWN(H3*D27%,0)</f>
        <v>0</v>
      </c>
      <c r="I26" s="41">
        <f>ROUNDDOWN(I3*D27%,0)</f>
        <v>34</v>
      </c>
      <c r="J26" s="41">
        <f>ROUNDDOWN(J3*D27%,0)</f>
        <v>3</v>
      </c>
      <c r="K26" s="9">
        <f>SUM(K2:K25)+D27</f>
        <v>25</v>
      </c>
      <c r="N26" s="977" t="s">
        <v>93</v>
      </c>
      <c r="O26" s="978"/>
      <c r="P26" s="978"/>
      <c r="Q26" s="978"/>
      <c r="R26" s="978"/>
      <c r="S26" s="978"/>
      <c r="T26" s="978"/>
      <c r="U26" s="979"/>
    </row>
    <row r="27" spans="2:21" ht="14.25" thickBot="1">
      <c r="B27" s="14" t="s">
        <v>62</v>
      </c>
      <c r="C27" s="571"/>
      <c r="D27" s="47">
        <f>ROUNDUP(D26/2,0)</f>
        <v>5</v>
      </c>
      <c r="E27" s="7" t="s">
        <v>63</v>
      </c>
      <c r="F27" s="44">
        <f>D28+10</f>
        <v>10</v>
      </c>
      <c r="G27" s="44">
        <f>SUM(G4:G25)</f>
        <v>27</v>
      </c>
      <c r="H27" s="44">
        <f>SUM(H4:H25)</f>
        <v>27</v>
      </c>
      <c r="I27" s="44">
        <f>SUM(I4:I25)</f>
        <v>120</v>
      </c>
      <c r="J27" s="44">
        <f>SUM(J4:J25)</f>
        <v>45</v>
      </c>
      <c r="K27" s="635">
        <f>SUM(K3:K26)+D32</f>
        <v>45</v>
      </c>
      <c r="N27" s="147" t="s">
        <v>293</v>
      </c>
      <c r="O27" s="66">
        <v>10</v>
      </c>
      <c r="P27" s="147" t="s">
        <v>104</v>
      </c>
      <c r="Q27" s="650">
        <v>3</v>
      </c>
      <c r="R27" s="1538" t="s">
        <v>199</v>
      </c>
      <c r="S27" s="1541"/>
      <c r="T27" s="243">
        <v>98</v>
      </c>
      <c r="U27" s="822" t="s">
        <v>762</v>
      </c>
    </row>
    <row r="28" spans="2:21" ht="14.25" thickBot="1">
      <c r="B28" s="17" t="s">
        <v>1024</v>
      </c>
      <c r="C28" s="210"/>
      <c r="D28" s="332">
        <v>0</v>
      </c>
      <c r="E28" s="14" t="s">
        <v>55</v>
      </c>
      <c r="F28" s="49">
        <f>SUM(F4:F27)</f>
        <v>222</v>
      </c>
      <c r="G28" s="49">
        <f>INT((G3+G26+G27)*(1+G31))</f>
        <v>31</v>
      </c>
      <c r="H28" s="49">
        <f>INT((H3+H26+H27)*(1+H31))</f>
        <v>31</v>
      </c>
      <c r="I28" s="49">
        <f>INT((I3+I26+I27)*(1+I31))</f>
        <v>927</v>
      </c>
      <c r="J28" s="49">
        <f>INT((J3+J26+J27)*(1+J31))</f>
        <v>123</v>
      </c>
      <c r="K28" s="205">
        <f>($I$28+$J$28*1.2+K27)*(1+K31)</f>
        <v>1119.6</v>
      </c>
      <c r="N28" s="988" t="s">
        <v>131</v>
      </c>
      <c r="O28" s="77" t="s">
        <v>56</v>
      </c>
      <c r="P28" s="554">
        <f>MIN(INT(($R$4*Q27)*(1+$B$33+$E$33+$B$51)),ReadMe!$M$94)</f>
        <v>10524</v>
      </c>
      <c r="Q28" s="975" t="s">
        <v>406</v>
      </c>
      <c r="R28" s="194" t="s">
        <v>56</v>
      </c>
      <c r="S28" s="160">
        <f>MIN(INT(P28*$E$41),ReadMe!$M$94)</f>
        <v>12628</v>
      </c>
      <c r="T28" s="1432" t="s">
        <v>127</v>
      </c>
      <c r="U28" s="1408">
        <f>INT(P29*(1-$G$41)+S29*$G$41)</f>
        <v>18038</v>
      </c>
    </row>
    <row r="29" spans="2:21" ht="14.25" thickBot="1">
      <c r="B29" s="1068" t="s">
        <v>645</v>
      </c>
      <c r="C29" s="1036"/>
      <c r="D29" s="1036"/>
      <c r="E29" s="1036"/>
      <c r="F29" s="1036"/>
      <c r="G29" s="1036"/>
      <c r="H29" s="1036"/>
      <c r="I29" s="1036"/>
      <c r="J29" s="1036"/>
      <c r="K29" s="1037"/>
      <c r="N29" s="1051"/>
      <c r="O29" s="44" t="s">
        <v>57</v>
      </c>
      <c r="P29" s="555">
        <f>INT((P28+P30)/2)</f>
        <v>14829</v>
      </c>
      <c r="Q29" s="1069"/>
      <c r="R29" s="80" t="s">
        <v>57</v>
      </c>
      <c r="S29" s="161">
        <f>INT((S28+S30)/2)</f>
        <v>20665</v>
      </c>
      <c r="T29" s="1433"/>
      <c r="U29" s="1409"/>
    </row>
    <row r="30" spans="2:21" ht="14.25" thickBot="1">
      <c r="B30" s="1085" t="s">
        <v>443</v>
      </c>
      <c r="C30" s="1086"/>
      <c r="D30" s="1087"/>
      <c r="E30" s="1038" t="s">
        <v>646</v>
      </c>
      <c r="F30" s="1039"/>
      <c r="G30" s="1" t="s">
        <v>650</v>
      </c>
      <c r="H30" s="3" t="s">
        <v>649</v>
      </c>
      <c r="I30" s="3" t="s">
        <v>648</v>
      </c>
      <c r="J30" s="3" t="s">
        <v>647</v>
      </c>
      <c r="K30" s="4" t="s">
        <v>651</v>
      </c>
      <c r="N30" s="989"/>
      <c r="O30" s="15" t="s">
        <v>58</v>
      </c>
      <c r="P30" s="556">
        <f>MIN(INT(($T$4*Q27)*(1+$B$33+$E$33+$B$51)),ReadMe!$M$94)</f>
        <v>19135</v>
      </c>
      <c r="Q30" s="1070"/>
      <c r="R30" s="87" t="s">
        <v>58</v>
      </c>
      <c r="S30" s="162">
        <f>MIN(INT(P30*$F$41),ReadMe!$M$94)</f>
        <v>28702</v>
      </c>
      <c r="T30" s="1433"/>
      <c r="U30" s="1409"/>
    </row>
    <row r="31" spans="2:21" ht="14.25" thickBot="1">
      <c r="B31" s="1091">
        <v>0</v>
      </c>
      <c r="C31" s="1132"/>
      <c r="D31" s="1093"/>
      <c r="E31" s="1040">
        <v>0</v>
      </c>
      <c r="F31" s="1032"/>
      <c r="G31" s="575">
        <v>0</v>
      </c>
      <c r="H31" s="576">
        <v>0</v>
      </c>
      <c r="I31" s="576">
        <v>0.09</v>
      </c>
      <c r="J31" s="576">
        <v>0</v>
      </c>
      <c r="K31" s="577">
        <v>0</v>
      </c>
      <c r="N31" s="1205" t="s">
        <v>94</v>
      </c>
      <c r="O31" s="1254"/>
      <c r="P31" s="1254"/>
      <c r="Q31" s="1254"/>
      <c r="R31" s="1254"/>
      <c r="S31" s="1530">
        <f>U28*T27*$T$10*$G$46</f>
        <v>2180192.9333333336</v>
      </c>
      <c r="T31" s="1298"/>
      <c r="U31" s="1299"/>
    </row>
    <row r="32" spans="2:6" ht="14.25" thickBot="1">
      <c r="B32" s="1088" t="s">
        <v>644</v>
      </c>
      <c r="C32" s="1089"/>
      <c r="D32" s="1090"/>
      <c r="E32" s="984" t="s">
        <v>551</v>
      </c>
      <c r="F32" s="976"/>
    </row>
    <row r="33" spans="2:21" ht="13.5" customHeight="1" thickBot="1">
      <c r="B33" s="1091">
        <v>0</v>
      </c>
      <c r="C33" s="1092"/>
      <c r="D33" s="1093"/>
      <c r="E33" s="1040">
        <v>0</v>
      </c>
      <c r="F33" s="1032"/>
      <c r="N33" s="977" t="s">
        <v>322</v>
      </c>
      <c r="O33" s="978"/>
      <c r="P33" s="978"/>
      <c r="Q33" s="978"/>
      <c r="R33" s="978"/>
      <c r="S33" s="978"/>
      <c r="T33" s="978"/>
      <c r="U33" s="979"/>
    </row>
    <row r="34" spans="14:21" ht="14.25" thickBot="1">
      <c r="N34" s="152" t="s">
        <v>307</v>
      </c>
      <c r="O34" s="153">
        <f>D6</f>
        <v>30</v>
      </c>
      <c r="P34" s="152" t="s">
        <v>104</v>
      </c>
      <c r="Q34" s="655">
        <f>(1100+20*O34)/100</f>
        <v>17</v>
      </c>
      <c r="R34" s="1542" t="s">
        <v>446</v>
      </c>
      <c r="S34" s="1542"/>
      <c r="T34" s="646">
        <f>60-2*INT(O34/2)</f>
        <v>30</v>
      </c>
      <c r="U34" s="648">
        <f>0.05+INT(O34/2)/100</f>
        <v>0.2</v>
      </c>
    </row>
    <row r="35" spans="2:21" ht="14.25" thickBot="1">
      <c r="B35" s="1047" t="s">
        <v>1120</v>
      </c>
      <c r="C35" s="1048"/>
      <c r="D35" s="1048"/>
      <c r="E35" s="535" t="s">
        <v>56</v>
      </c>
      <c r="F35" s="19" t="s">
        <v>58</v>
      </c>
      <c r="G35" s="536" t="s">
        <v>750</v>
      </c>
      <c r="I35" s="1041" t="s">
        <v>218</v>
      </c>
      <c r="J35" s="1042"/>
      <c r="K35" s="1043"/>
      <c r="N35" s="1208" t="s">
        <v>303</v>
      </c>
      <c r="O35" s="139" t="s">
        <v>56</v>
      </c>
      <c r="P35" s="149">
        <f>MIN(INT(P38*1.5),ReadMe!$M$94)</f>
        <v>89460</v>
      </c>
      <c r="Q35" s="1528" t="s">
        <v>303</v>
      </c>
      <c r="R35" s="88" t="s">
        <v>56</v>
      </c>
      <c r="S35" s="160">
        <f>MIN(INT(P35*$E$41),ReadMe!$M$94)</f>
        <v>107352</v>
      </c>
      <c r="T35" s="1552" t="s">
        <v>303</v>
      </c>
      <c r="U35" s="1408">
        <f>INT(P36*(1-($G$41+$U$34))+S36*($G$41+$U$34))</f>
        <v>163263</v>
      </c>
    </row>
    <row r="36" spans="2:21" ht="14.25" thickBot="1">
      <c r="B36" s="1133" t="s">
        <v>1122</v>
      </c>
      <c r="C36" s="1134"/>
      <c r="D36" s="1135"/>
      <c r="E36" s="36">
        <v>1.2</v>
      </c>
      <c r="F36" s="539">
        <v>1.5</v>
      </c>
      <c r="G36" s="260">
        <v>0.55</v>
      </c>
      <c r="I36" s="1041" t="s">
        <v>220</v>
      </c>
      <c r="J36" s="1053"/>
      <c r="K36" s="1054"/>
      <c r="N36" s="1209"/>
      <c r="O36" s="44" t="s">
        <v>57</v>
      </c>
      <c r="P36" s="63">
        <f>MIN(INT(P39*1.5),ReadMe!$M$94)</f>
        <v>126057</v>
      </c>
      <c r="Q36" s="1529"/>
      <c r="R36" s="80" t="s">
        <v>57</v>
      </c>
      <c r="S36" s="161">
        <f>INT((S35+S37)/2)</f>
        <v>175666</v>
      </c>
      <c r="T36" s="1473"/>
      <c r="U36" s="1409"/>
    </row>
    <row r="37" spans="2:21" ht="14.25" thickBot="1">
      <c r="B37" s="1051" t="s">
        <v>1117</v>
      </c>
      <c r="C37" s="1052"/>
      <c r="D37" s="548">
        <v>0</v>
      </c>
      <c r="E37" s="538"/>
      <c r="F37" s="537">
        <f>D37/100</f>
        <v>0</v>
      </c>
      <c r="G37" s="543">
        <f>IF(D37=0,0,(5+ROUNDUP(D37/2,0))/100)</f>
        <v>0</v>
      </c>
      <c r="I37" s="871" t="s">
        <v>217</v>
      </c>
      <c r="J37" s="224"/>
      <c r="K37" s="247">
        <v>0</v>
      </c>
      <c r="N37" s="1210"/>
      <c r="O37" s="15" t="s">
        <v>58</v>
      </c>
      <c r="P37" s="150">
        <f>MIN(INT(P40*1.5),ReadMe!$M$94)</f>
        <v>162654</v>
      </c>
      <c r="Q37" s="183" t="s">
        <v>324</v>
      </c>
      <c r="R37" s="87" t="s">
        <v>58</v>
      </c>
      <c r="S37" s="162">
        <f>MIN(INT(P37*$F$41),ReadMe!$M$94)</f>
        <v>243981</v>
      </c>
      <c r="T37" s="184" t="s">
        <v>140</v>
      </c>
      <c r="U37" s="1409"/>
    </row>
    <row r="38" spans="2:21" ht="14.25" thickBot="1">
      <c r="B38" s="1051" t="s">
        <v>1118</v>
      </c>
      <c r="C38" s="1052"/>
      <c r="D38" s="548">
        <v>0</v>
      </c>
      <c r="E38" s="538">
        <f>D38/100</f>
        <v>0</v>
      </c>
      <c r="F38" s="537"/>
      <c r="G38" s="543">
        <f>IF(D38=0,0,(5+ROUNDUP(D38/2,0))/100)</f>
        <v>0</v>
      </c>
      <c r="N38" s="988" t="s">
        <v>131</v>
      </c>
      <c r="O38" s="77" t="s">
        <v>56</v>
      </c>
      <c r="P38" s="554">
        <f>MIN(INT(($R$4*Q34)*(1+$B$33+$E$33+$B$51)),ReadMe!$M$94)</f>
        <v>59640</v>
      </c>
      <c r="Q38" s="975" t="s">
        <v>406</v>
      </c>
      <c r="R38" s="194" t="s">
        <v>56</v>
      </c>
      <c r="S38" s="160">
        <f>MIN(INT(P38*$E$41),ReadMe!$M$94)</f>
        <v>71568</v>
      </c>
      <c r="T38" s="1432" t="s">
        <v>127</v>
      </c>
      <c r="U38" s="1408">
        <f>INT(P39*(1-($G$41+$U$34))+S39*($G$41+$U$34))</f>
        <v>108842</v>
      </c>
    </row>
    <row r="39" spans="1:21" ht="14.25" thickBot="1">
      <c r="A39" s="421" t="b">
        <v>0</v>
      </c>
      <c r="B39" s="1051" t="s">
        <v>1119</v>
      </c>
      <c r="C39" s="1052"/>
      <c r="D39" s="544"/>
      <c r="E39" s="538"/>
      <c r="F39" s="537">
        <f>IF(H39="true",0.15,0)</f>
        <v>0</v>
      </c>
      <c r="G39" s="543">
        <f>IF(H39="true",0.1,0)</f>
        <v>0</v>
      </c>
      <c r="H39" s="421" t="str">
        <f>IF(A39=TRUE,"TRUE",IF(D39=1,"TRUE","FLASE"))</f>
        <v>FLASE</v>
      </c>
      <c r="I39" s="1058" t="s">
        <v>1163</v>
      </c>
      <c r="J39" s="1059"/>
      <c r="K39" s="896"/>
      <c r="L39" s="421" t="b">
        <v>0</v>
      </c>
      <c r="M39" s="514" t="str">
        <f>IF(L39=TRUE,"TRUE",IF(K39=1,"TRUE","FLASE"))</f>
        <v>FLASE</v>
      </c>
      <c r="N39" s="1051"/>
      <c r="O39" s="44" t="s">
        <v>57</v>
      </c>
      <c r="P39" s="555">
        <f>INT((P38+P40)/2)</f>
        <v>84038</v>
      </c>
      <c r="Q39" s="1069"/>
      <c r="R39" s="80" t="s">
        <v>57</v>
      </c>
      <c r="S39" s="161">
        <f>INT((S38+S40)/2)</f>
        <v>117111</v>
      </c>
      <c r="T39" s="1433"/>
      <c r="U39" s="1409"/>
    </row>
    <row r="40" spans="2:21" ht="14.25" thickBot="1">
      <c r="B40" s="1055" t="s">
        <v>1121</v>
      </c>
      <c r="C40" s="1056"/>
      <c r="D40" s="1057"/>
      <c r="E40" s="545">
        <v>0</v>
      </c>
      <c r="F40" s="546">
        <v>0</v>
      </c>
      <c r="G40" s="547">
        <v>0</v>
      </c>
      <c r="I40" s="637" t="s">
        <v>787</v>
      </c>
      <c r="J40" s="893"/>
      <c r="K40" s="894">
        <v>0</v>
      </c>
      <c r="N40" s="989"/>
      <c r="O40" s="15" t="s">
        <v>58</v>
      </c>
      <c r="P40" s="556">
        <f>MIN(INT(($T$4*Q34)*(1+$B$33+$E$33+$B$51)),ReadMe!$M$94)</f>
        <v>108436</v>
      </c>
      <c r="Q40" s="1070"/>
      <c r="R40" s="87" t="s">
        <v>58</v>
      </c>
      <c r="S40" s="162">
        <f>MIN(INT(P40*$F$41),ReadMe!$M$94)</f>
        <v>162654</v>
      </c>
      <c r="T40" s="1433"/>
      <c r="U40" s="1409"/>
    </row>
    <row r="41" spans="2:21" ht="14.25" thickBot="1">
      <c r="B41" s="1044" t="s">
        <v>1123</v>
      </c>
      <c r="C41" s="1045"/>
      <c r="D41" s="1046"/>
      <c r="E41" s="540">
        <f>E36+MAX(E38,E39)+E40</f>
        <v>1.2</v>
      </c>
      <c r="F41" s="541">
        <f>F36+MAX(F37,F39)+F40</f>
        <v>1.5</v>
      </c>
      <c r="G41" s="542">
        <f>G36+MAX(G37,G38,G39)+G40</f>
        <v>0.55</v>
      </c>
      <c r="I41" s="1060" t="s">
        <v>530</v>
      </c>
      <c r="J41" s="1061"/>
      <c r="K41" s="895">
        <f>IF(M39="true",IF(K40&gt;0,10+ROUNDUP(K40/3,0),11)/100,0)</f>
        <v>0</v>
      </c>
      <c r="L41" s="342"/>
      <c r="M41" s="342"/>
      <c r="N41" s="988" t="s">
        <v>302</v>
      </c>
      <c r="O41" s="139" t="s">
        <v>56</v>
      </c>
      <c r="P41" s="4">
        <f>INT(P38*0.5)</f>
        <v>29820</v>
      </c>
      <c r="Q41" s="1528" t="s">
        <v>302</v>
      </c>
      <c r="R41" s="88" t="s">
        <v>56</v>
      </c>
      <c r="S41" s="160">
        <f>MIN(INT(P41*$E$41),ReadMe!$M$94)</f>
        <v>35784</v>
      </c>
      <c r="T41" s="1552" t="s">
        <v>302</v>
      </c>
      <c r="U41" s="1408">
        <f>INT(P42*(1-($G$41+$U$34))+S42*($G$41+$U$34))</f>
        <v>54421</v>
      </c>
    </row>
    <row r="42" spans="2:21" ht="14.25" thickBot="1">
      <c r="B42" s="1136" t="s">
        <v>135</v>
      </c>
      <c r="C42" s="1137"/>
      <c r="D42" s="1138"/>
      <c r="E42" s="1011">
        <f>(($E$41+$F$41)/2-1)*$G$41+1</f>
        <v>1.1925000000000001</v>
      </c>
      <c r="F42" s="1012"/>
      <c r="G42" s="1005"/>
      <c r="N42" s="1051"/>
      <c r="O42" s="44" t="s">
        <v>57</v>
      </c>
      <c r="P42" s="63">
        <f>INT(P39*0.5)</f>
        <v>42019</v>
      </c>
      <c r="Q42" s="1529"/>
      <c r="R42" s="80" t="s">
        <v>57</v>
      </c>
      <c r="S42" s="161">
        <f>INT((S41+S43)/2)</f>
        <v>58555</v>
      </c>
      <c r="T42" s="1473"/>
      <c r="U42" s="1409"/>
    </row>
    <row r="43" spans="9:21" ht="14.25" thickBot="1">
      <c r="I43" s="1075" t="s">
        <v>1188</v>
      </c>
      <c r="J43" s="1076"/>
      <c r="K43" s="1077"/>
      <c r="N43" s="989"/>
      <c r="O43" s="15" t="s">
        <v>58</v>
      </c>
      <c r="P43" s="148">
        <f>INT(P40*0.5)</f>
        <v>54218</v>
      </c>
      <c r="Q43" s="183" t="s">
        <v>324</v>
      </c>
      <c r="R43" s="87" t="s">
        <v>58</v>
      </c>
      <c r="S43" s="162">
        <f>MIN(INT(P43*$F$41),ReadMe!$M$94)</f>
        <v>81327</v>
      </c>
      <c r="T43" s="184" t="s">
        <v>140</v>
      </c>
      <c r="U43" s="1409"/>
    </row>
    <row r="44" spans="2:13" ht="14.25" thickBot="1">
      <c r="B44" s="1049" t="s">
        <v>416</v>
      </c>
      <c r="C44" s="1050"/>
      <c r="D44" s="566">
        <v>125</v>
      </c>
      <c r="E44" s="1147" t="s">
        <v>417</v>
      </c>
      <c r="F44" s="1148"/>
      <c r="G44" s="26">
        <f>IF(D2&gt;D44,0,$D$44-$D$2)</f>
        <v>0</v>
      </c>
      <c r="I44" s="439" t="s">
        <v>1189</v>
      </c>
      <c r="J44" s="572"/>
      <c r="K44" s="223">
        <v>0</v>
      </c>
      <c r="L44" s="342"/>
      <c r="M44" s="342"/>
    </row>
    <row r="45" spans="2:24" ht="14.25" thickBot="1">
      <c r="B45" s="1006" t="s">
        <v>450</v>
      </c>
      <c r="C45" s="1007"/>
      <c r="D45" s="9">
        <v>12</v>
      </c>
      <c r="E45" s="1006" t="s">
        <v>452</v>
      </c>
      <c r="F45" s="1007"/>
      <c r="G45" s="665">
        <f>IF(G44&gt;0,"-",D45)</f>
        <v>12</v>
      </c>
      <c r="I45" s="440" t="s">
        <v>1190</v>
      </c>
      <c r="J45" s="573"/>
      <c r="K45" s="441">
        <f>IF(K44&gt;0,(K44+10)/100,0)</f>
        <v>0</v>
      </c>
      <c r="N45" s="977" t="s">
        <v>454</v>
      </c>
      <c r="O45" s="978"/>
      <c r="P45" s="978"/>
      <c r="Q45" s="978"/>
      <c r="R45" s="978"/>
      <c r="S45" s="978"/>
      <c r="T45" s="978"/>
      <c r="U45" s="979"/>
      <c r="V45" s="99"/>
      <c r="W45" s="204"/>
      <c r="X45" s="204"/>
    </row>
    <row r="46" spans="2:22" ht="14.25" thickBot="1">
      <c r="B46" s="997" t="s">
        <v>415</v>
      </c>
      <c r="C46" s="998"/>
      <c r="D46" s="9">
        <v>0</v>
      </c>
      <c r="E46" s="1006" t="s">
        <v>451</v>
      </c>
      <c r="F46" s="1007"/>
      <c r="G46" s="543">
        <f>MAX((MIN(100+SQRT($K$28)-SQRT($D$45),100)-5*G44)/100,0)</f>
        <v>1</v>
      </c>
      <c r="N46" s="152" t="s">
        <v>293</v>
      </c>
      <c r="O46" s="153">
        <f>D7</f>
        <v>1</v>
      </c>
      <c r="P46" s="152" t="s">
        <v>104</v>
      </c>
      <c r="Q46" s="647">
        <f>(230+2*O46)/100</f>
        <v>2.32</v>
      </c>
      <c r="R46" s="220" t="s">
        <v>483</v>
      </c>
      <c r="S46" s="221">
        <v>1</v>
      </c>
      <c r="T46" s="511" t="s">
        <v>940</v>
      </c>
      <c r="U46" s="512">
        <v>32</v>
      </c>
      <c r="V46" s="22"/>
    </row>
    <row r="47" spans="2:25" ht="14.25" thickBot="1">
      <c r="B47" s="1008" t="s">
        <v>642</v>
      </c>
      <c r="C47" s="1009"/>
      <c r="D47" s="567">
        <v>0.25</v>
      </c>
      <c r="E47" s="1145" t="s">
        <v>643</v>
      </c>
      <c r="F47" s="1146"/>
      <c r="G47" s="29">
        <f>1-(D47*(1-K45))</f>
        <v>0.75</v>
      </c>
      <c r="I47" s="1003" t="s">
        <v>1110</v>
      </c>
      <c r="J47" s="1004"/>
      <c r="K47" s="996"/>
      <c r="L47" s="342"/>
      <c r="M47" s="168"/>
      <c r="N47" s="1208" t="s">
        <v>303</v>
      </c>
      <c r="O47" s="139" t="s">
        <v>56</v>
      </c>
      <c r="P47" s="149">
        <f>MIN(INT(P53*1.5),ReadMe!$M$94)</f>
        <v>12208</v>
      </c>
      <c r="Q47" s="1528" t="s">
        <v>303</v>
      </c>
      <c r="R47" s="88" t="s">
        <v>56</v>
      </c>
      <c r="S47" s="160">
        <f>MIN(INT(P47*$E$41),ReadMe!$M$94)</f>
        <v>14649</v>
      </c>
      <c r="T47" s="1518" t="s">
        <v>303</v>
      </c>
      <c r="U47" s="1408">
        <f>INT(P48*(1-$G$41)+S48*$G$41)</f>
        <v>20925</v>
      </c>
      <c r="W47" s="58"/>
      <c r="X47" s="58"/>
      <c r="Y47" s="58"/>
    </row>
    <row r="48" spans="4:25" ht="14.25" thickBot="1">
      <c r="D48" s="421">
        <f>$D$46*(1-($K$45+$B$31))</f>
        <v>0</v>
      </c>
      <c r="I48" s="1083" t="s">
        <v>652</v>
      </c>
      <c r="J48" s="1084"/>
      <c r="K48" s="493"/>
      <c r="L48" s="514" t="b">
        <v>0</v>
      </c>
      <c r="M48" s="514" t="str">
        <f>IF(L48=TRUE,"TRUE",IF(K48=1,"TRUE","FLASE"))</f>
        <v>FLASE</v>
      </c>
      <c r="N48" s="1209"/>
      <c r="O48" s="44" t="s">
        <v>57</v>
      </c>
      <c r="P48" s="63">
        <f>MIN(INT(P54*1.5),ReadMe!$M$94)</f>
        <v>17202</v>
      </c>
      <c r="Q48" s="1529"/>
      <c r="R48" s="80" t="s">
        <v>57</v>
      </c>
      <c r="S48" s="161">
        <f>INT((S47+S49)/2)</f>
        <v>23972</v>
      </c>
      <c r="T48" s="1329"/>
      <c r="U48" s="1409"/>
      <c r="W48" s="58"/>
      <c r="X48" s="58"/>
      <c r="Y48" s="58"/>
    </row>
    <row r="49" spans="2:25" ht="14.25" thickBot="1">
      <c r="B49" s="1078" t="s">
        <v>749</v>
      </c>
      <c r="C49" s="1079"/>
      <c r="D49" s="1080"/>
      <c r="I49" s="994" t="s">
        <v>653</v>
      </c>
      <c r="J49" s="995"/>
      <c r="K49" s="494"/>
      <c r="L49" s="514" t="b">
        <v>0</v>
      </c>
      <c r="M49" s="514" t="str">
        <f>IF(L49=TRUE,"TRUE",IF(K49=1,"TRUE","FLASE"))</f>
        <v>FLASE</v>
      </c>
      <c r="N49" s="1210"/>
      <c r="O49" s="15" t="s">
        <v>58</v>
      </c>
      <c r="P49" s="150">
        <f>MIN(INT(P55*1.5),ReadMe!$M$94)</f>
        <v>22197</v>
      </c>
      <c r="Q49" s="760" t="s">
        <v>324</v>
      </c>
      <c r="R49" s="268" t="s">
        <v>58</v>
      </c>
      <c r="S49" s="270">
        <f>MIN(INT(P49*$F$41),ReadMe!$M$94)</f>
        <v>33295</v>
      </c>
      <c r="T49" s="761" t="s">
        <v>140</v>
      </c>
      <c r="U49" s="1495"/>
      <c r="W49" s="1165" t="s">
        <v>751</v>
      </c>
      <c r="X49" s="1166"/>
      <c r="Y49" s="1167"/>
    </row>
    <row r="50" spans="2:25" ht="14.25" thickBot="1">
      <c r="B50" s="999" t="s">
        <v>551</v>
      </c>
      <c r="C50" s="1000"/>
      <c r="D50" s="1001"/>
      <c r="I50" s="1002" t="s">
        <v>530</v>
      </c>
      <c r="J50" s="993"/>
      <c r="K50" s="225">
        <f>IF(M48="TRUE",1.04,IF(M49="TRUE",1.02,1))</f>
        <v>1</v>
      </c>
      <c r="L50" s="352"/>
      <c r="M50" s="352"/>
      <c r="N50" s="988" t="s">
        <v>102</v>
      </c>
      <c r="O50" s="85" t="s">
        <v>56</v>
      </c>
      <c r="P50" s="188">
        <f>P47*5</f>
        <v>61040</v>
      </c>
      <c r="Q50" s="1339"/>
      <c r="R50" s="1368"/>
      <c r="S50" s="1519">
        <f>(P51*U46*$T$10+IF($A$13="true",$S$31,0))*$G$46</f>
        <v>4129200</v>
      </c>
      <c r="T50" s="1520"/>
      <c r="U50" s="1521"/>
      <c r="W50" s="1531">
        <f>INT(S50-P51*$P$68)+$S$70*$S$68</f>
        <v>5034395</v>
      </c>
      <c r="X50" s="1121"/>
      <c r="Y50" s="1122"/>
    </row>
    <row r="51" spans="2:25" ht="14.25" thickBot="1">
      <c r="B51" s="1142">
        <v>0</v>
      </c>
      <c r="C51" s="1143"/>
      <c r="D51" s="1144"/>
      <c r="N51" s="1051"/>
      <c r="O51" s="179" t="s">
        <v>140</v>
      </c>
      <c r="P51" s="705">
        <f>U47*5</f>
        <v>104625</v>
      </c>
      <c r="Q51" s="595" t="s">
        <v>67</v>
      </c>
      <c r="R51" s="596"/>
      <c r="S51" s="1522"/>
      <c r="T51" s="1523"/>
      <c r="U51" s="1524"/>
      <c r="W51" s="1532"/>
      <c r="X51" s="1123"/>
      <c r="Y51" s="1124"/>
    </row>
    <row r="52" spans="14:25" ht="14.25" thickBot="1">
      <c r="N52" s="989"/>
      <c r="O52" s="95" t="s">
        <v>58</v>
      </c>
      <c r="P52" s="190">
        <f>S49*5</f>
        <v>166475</v>
      </c>
      <c r="Q52" s="1106" t="s">
        <v>90</v>
      </c>
      <c r="R52" s="1107"/>
      <c r="S52" s="1525"/>
      <c r="T52" s="1526"/>
      <c r="U52" s="1527"/>
      <c r="W52" s="1533"/>
      <c r="X52" s="1125"/>
      <c r="Y52" s="1126"/>
    </row>
    <row r="53" spans="2:25" ht="14.25" thickBot="1">
      <c r="B53" s="1205" t="s">
        <v>64</v>
      </c>
      <c r="C53" s="1254"/>
      <c r="D53" s="1254"/>
      <c r="E53" s="1254"/>
      <c r="F53" s="1254"/>
      <c r="G53" s="1254"/>
      <c r="H53" s="1254"/>
      <c r="I53" s="1254"/>
      <c r="J53" s="1254"/>
      <c r="K53" s="1254"/>
      <c r="L53" s="1255"/>
      <c r="N53" s="988" t="s">
        <v>131</v>
      </c>
      <c r="O53" s="77" t="s">
        <v>56</v>
      </c>
      <c r="P53" s="554">
        <f>MIN(INT(($R$4*Q46)*(1+$B$33+$E$33+$B$51)),ReadMe!$M$94)</f>
        <v>8139</v>
      </c>
      <c r="Q53" s="975" t="s">
        <v>406</v>
      </c>
      <c r="R53" s="194" t="s">
        <v>56</v>
      </c>
      <c r="S53" s="160">
        <f>MIN(INT(P53*$E$41),ReadMe!$M$94)</f>
        <v>9766</v>
      </c>
      <c r="T53" s="1432" t="s">
        <v>127</v>
      </c>
      <c r="U53" s="1408">
        <f>INT(P54*(1-$G$41)+S54*$G$41)</f>
        <v>13950</v>
      </c>
      <c r="W53" s="23"/>
      <c r="X53" s="22"/>
      <c r="Y53" s="143"/>
    </row>
    <row r="54" spans="2:25" ht="13.5">
      <c r="B54" s="1017" t="s">
        <v>763</v>
      </c>
      <c r="C54" s="1015"/>
      <c r="D54" s="1013"/>
      <c r="E54" s="1013"/>
      <c r="F54" s="1013"/>
      <c r="G54" s="1013"/>
      <c r="H54" s="1013"/>
      <c r="I54" s="1013"/>
      <c r="J54" s="1013"/>
      <c r="K54" s="1014"/>
      <c r="L54" s="1010"/>
      <c r="N54" s="1051"/>
      <c r="O54" s="44" t="s">
        <v>57</v>
      </c>
      <c r="P54" s="555">
        <f>INT((P53+P55)/2)</f>
        <v>11468</v>
      </c>
      <c r="Q54" s="1069"/>
      <c r="R54" s="80" t="s">
        <v>57</v>
      </c>
      <c r="S54" s="161">
        <f>INT((S53+S55)/2)</f>
        <v>15981</v>
      </c>
      <c r="T54" s="1433"/>
      <c r="U54" s="1409"/>
      <c r="W54" s="23"/>
      <c r="X54" s="22"/>
      <c r="Y54" s="143"/>
    </row>
    <row r="55" spans="2:25" ht="14.25" thickBot="1">
      <c r="B55" s="1017" t="s">
        <v>764</v>
      </c>
      <c r="C55" s="1015"/>
      <c r="D55" s="1013"/>
      <c r="E55" s="1013"/>
      <c r="F55" s="1013"/>
      <c r="G55" s="1013"/>
      <c r="H55" s="1013"/>
      <c r="I55" s="1013"/>
      <c r="J55" s="1013"/>
      <c r="K55" s="1014"/>
      <c r="L55" s="1010"/>
      <c r="N55" s="989"/>
      <c r="O55" s="15" t="s">
        <v>58</v>
      </c>
      <c r="P55" s="556">
        <f>MIN(INT(($T$4*Q46)*(1+$B$33+$E$33+$B$51)),ReadMe!$M$94)</f>
        <v>14798</v>
      </c>
      <c r="Q55" s="1070"/>
      <c r="R55" s="87" t="s">
        <v>58</v>
      </c>
      <c r="S55" s="162">
        <f>MIN(INT(P55*$F$41),ReadMe!$M$94)</f>
        <v>22197</v>
      </c>
      <c r="T55" s="1433"/>
      <c r="U55" s="1409"/>
      <c r="W55" s="141"/>
      <c r="X55" s="58"/>
      <c r="Y55" s="144"/>
    </row>
    <row r="56" spans="2:25" ht="13.5">
      <c r="B56" s="1017" t="s">
        <v>363</v>
      </c>
      <c r="C56" s="1015"/>
      <c r="D56" s="1013"/>
      <c r="E56" s="1013"/>
      <c r="F56" s="1013"/>
      <c r="G56" s="1013"/>
      <c r="H56" s="1013"/>
      <c r="I56" s="1013"/>
      <c r="J56" s="1013"/>
      <c r="K56" s="1014"/>
      <c r="L56" s="1010"/>
      <c r="N56" s="988" t="s">
        <v>102</v>
      </c>
      <c r="O56" s="85" t="s">
        <v>56</v>
      </c>
      <c r="P56" s="188">
        <f>P53*5</f>
        <v>40695</v>
      </c>
      <c r="Q56" s="1339"/>
      <c r="R56" s="1368"/>
      <c r="S56" s="1519">
        <f>(P57*U46*$T$10+IF($A$13="true",$S$31,0))*$G$46</f>
        <v>2752800</v>
      </c>
      <c r="T56" s="1520"/>
      <c r="U56" s="1521"/>
      <c r="W56" s="1531">
        <f>INT(S56-P57*$P$68)+$S$70*$S$68</f>
        <v>3666043</v>
      </c>
      <c r="X56" s="1121"/>
      <c r="Y56" s="1122"/>
    </row>
    <row r="57" spans="2:25" ht="14.25" thickBot="1">
      <c r="B57" s="1029" t="s">
        <v>364</v>
      </c>
      <c r="C57" s="1030"/>
      <c r="D57" s="1031"/>
      <c r="E57" s="1031"/>
      <c r="F57" s="1031"/>
      <c r="G57" s="1031"/>
      <c r="H57" s="1031"/>
      <c r="I57" s="1031"/>
      <c r="J57" s="1031"/>
      <c r="K57" s="1026"/>
      <c r="L57" s="1022"/>
      <c r="N57" s="1051"/>
      <c r="O57" s="179" t="s">
        <v>140</v>
      </c>
      <c r="P57" s="705">
        <f>U53*5</f>
        <v>69750</v>
      </c>
      <c r="Q57" s="595" t="s">
        <v>67</v>
      </c>
      <c r="R57" s="596"/>
      <c r="S57" s="1522"/>
      <c r="T57" s="1523"/>
      <c r="U57" s="1524"/>
      <c r="W57" s="1532"/>
      <c r="X57" s="1123"/>
      <c r="Y57" s="1124"/>
    </row>
    <row r="58" spans="2:25" ht="14.25" thickBot="1">
      <c r="B58" s="496"/>
      <c r="C58" s="496"/>
      <c r="N58" s="989"/>
      <c r="O58" s="95" t="s">
        <v>58</v>
      </c>
      <c r="P58" s="190">
        <f>S55*5</f>
        <v>110985</v>
      </c>
      <c r="Q58" s="1106" t="s">
        <v>91</v>
      </c>
      <c r="R58" s="1107"/>
      <c r="S58" s="1525"/>
      <c r="T58" s="1526"/>
      <c r="U58" s="1527"/>
      <c r="W58" s="1533"/>
      <c r="X58" s="1125"/>
      <c r="Y58" s="1126"/>
    </row>
    <row r="59" spans="2:25" ht="13.5">
      <c r="B59" s="496"/>
      <c r="C59" s="496"/>
      <c r="N59" s="1208" t="s">
        <v>302</v>
      </c>
      <c r="O59" s="139" t="s">
        <v>56</v>
      </c>
      <c r="P59" s="149">
        <f aca="true" t="shared" si="0" ref="P59:P64">INT(P53*0.5)</f>
        <v>4069</v>
      </c>
      <c r="Q59" s="1528" t="s">
        <v>302</v>
      </c>
      <c r="R59" s="88" t="s">
        <v>56</v>
      </c>
      <c r="S59" s="160">
        <f>MIN(INT(P59*$E$41),ReadMe!$M$94)</f>
        <v>4882</v>
      </c>
      <c r="T59" s="1518" t="s">
        <v>302</v>
      </c>
      <c r="U59" s="1408">
        <f>INT(P60*(1-$G$41)+S60*$G$41)</f>
        <v>6974</v>
      </c>
      <c r="W59" s="141"/>
      <c r="X59" s="58"/>
      <c r="Y59" s="144"/>
    </row>
    <row r="60" spans="2:25" ht="13.5">
      <c r="B60" s="120"/>
      <c r="C60" s="120"/>
      <c r="N60" s="1209"/>
      <c r="O60" s="44" t="s">
        <v>57</v>
      </c>
      <c r="P60" s="63">
        <f t="shared" si="0"/>
        <v>5734</v>
      </c>
      <c r="Q60" s="1529"/>
      <c r="R60" s="80" t="s">
        <v>57</v>
      </c>
      <c r="S60" s="161">
        <f>INT((S59+S61)/2)</f>
        <v>7990</v>
      </c>
      <c r="T60" s="1329"/>
      <c r="U60" s="1409"/>
      <c r="W60" s="141"/>
      <c r="X60" s="58"/>
      <c r="Y60" s="144"/>
    </row>
    <row r="61" spans="14:25" ht="14.25" thickBot="1">
      <c r="N61" s="1210"/>
      <c r="O61" s="15" t="s">
        <v>58</v>
      </c>
      <c r="P61" s="150">
        <f t="shared" si="0"/>
        <v>7399</v>
      </c>
      <c r="Q61" s="760" t="s">
        <v>324</v>
      </c>
      <c r="R61" s="268" t="s">
        <v>58</v>
      </c>
      <c r="S61" s="270">
        <f>MIN(INT(P61*$F$41),ReadMe!$M$94)</f>
        <v>11098</v>
      </c>
      <c r="T61" s="761" t="s">
        <v>140</v>
      </c>
      <c r="U61" s="1495"/>
      <c r="W61" s="775"/>
      <c r="X61" s="308"/>
      <c r="Y61" s="776"/>
    </row>
    <row r="62" spans="14:25" ht="13.5">
      <c r="N62" s="988" t="s">
        <v>102</v>
      </c>
      <c r="O62" s="85" t="s">
        <v>56</v>
      </c>
      <c r="P62" s="188">
        <f t="shared" si="0"/>
        <v>20347</v>
      </c>
      <c r="Q62" s="1339"/>
      <c r="R62" s="1368"/>
      <c r="S62" s="1519">
        <f>(P63*U46*$T$10+IF($A$13="true",$S$31,0))*$G$46</f>
        <v>1376400</v>
      </c>
      <c r="T62" s="1520"/>
      <c r="U62" s="1521"/>
      <c r="W62" s="1531">
        <f>INT(S62-P63*$P$68)+$S$70*$S$68</f>
        <v>2297691</v>
      </c>
      <c r="X62" s="1121"/>
      <c r="Y62" s="1122"/>
    </row>
    <row r="63" spans="14:25" ht="13.5">
      <c r="N63" s="1051"/>
      <c r="O63" s="179" t="s">
        <v>140</v>
      </c>
      <c r="P63" s="705">
        <f t="shared" si="0"/>
        <v>34875</v>
      </c>
      <c r="Q63" s="595" t="s">
        <v>67</v>
      </c>
      <c r="R63" s="596"/>
      <c r="S63" s="1522"/>
      <c r="T63" s="1523"/>
      <c r="U63" s="1524"/>
      <c r="W63" s="1532"/>
      <c r="X63" s="1123"/>
      <c r="Y63" s="1124"/>
    </row>
    <row r="64" spans="14:25" ht="14.25" thickBot="1">
      <c r="N64" s="989"/>
      <c r="O64" s="95" t="s">
        <v>58</v>
      </c>
      <c r="P64" s="190">
        <f t="shared" si="0"/>
        <v>55492</v>
      </c>
      <c r="Q64" s="1106" t="s">
        <v>90</v>
      </c>
      <c r="R64" s="1107"/>
      <c r="S64" s="1525"/>
      <c r="T64" s="1526"/>
      <c r="U64" s="1527"/>
      <c r="W64" s="1533"/>
      <c r="X64" s="1125"/>
      <c r="Y64" s="1126"/>
    </row>
    <row r="65" ht="14.25" thickBot="1">
      <c r="T65" s="58"/>
    </row>
    <row r="66" spans="14:19" ht="14.25" thickBot="1">
      <c r="N66" s="977" t="s">
        <v>748</v>
      </c>
      <c r="O66" s="978"/>
      <c r="P66" s="978"/>
      <c r="Q66" s="978"/>
      <c r="R66" s="978"/>
      <c r="S66" s="979"/>
    </row>
    <row r="67" spans="14:19" ht="14.25" thickBot="1">
      <c r="N67" s="310" t="s">
        <v>293</v>
      </c>
      <c r="O67" s="290">
        <f>D8</f>
        <v>30</v>
      </c>
      <c r="P67" s="259" t="s">
        <v>104</v>
      </c>
      <c r="Q67" s="428">
        <f>(320+5*O67)/100</f>
        <v>4.7</v>
      </c>
      <c r="R67" s="14" t="s">
        <v>545</v>
      </c>
      <c r="S67" s="16">
        <f>O67*8+20</f>
        <v>260</v>
      </c>
    </row>
    <row r="68" spans="14:19" ht="14.25" thickBot="1">
      <c r="N68" s="1205" t="s">
        <v>710</v>
      </c>
      <c r="O68" s="1315"/>
      <c r="P68" s="329">
        <f>60/S67</f>
        <v>0.23076923076923078</v>
      </c>
      <c r="Q68" s="1318" t="s">
        <v>732</v>
      </c>
      <c r="R68" s="1319"/>
      <c r="S68" s="84">
        <v>20</v>
      </c>
    </row>
    <row r="69" spans="14:19" ht="13.5">
      <c r="N69" s="311" t="s">
        <v>707</v>
      </c>
      <c r="O69" s="4">
        <f>MIN(INT(Q69*0.5),ReadMe!$M$94)</f>
        <v>10992</v>
      </c>
      <c r="P69" s="311" t="s">
        <v>704</v>
      </c>
      <c r="Q69" s="4">
        <f>MIN(INT(($N$4*Q67)*(1+$B$33+$E$33+$B$51)),ReadMe!$M$94)</f>
        <v>21984</v>
      </c>
      <c r="R69" s="311" t="s">
        <v>679</v>
      </c>
      <c r="S69" s="4">
        <f>MIN(INT(Q69*1.5),ReadMe!$M$94)</f>
        <v>32976</v>
      </c>
    </row>
    <row r="70" spans="14:19" ht="13.5">
      <c r="N70" s="7" t="s">
        <v>708</v>
      </c>
      <c r="O70" s="45">
        <f>MIN(INT(Q70*0.5),ReadMe!$M$94)</f>
        <v>15489</v>
      </c>
      <c r="P70" s="7" t="s">
        <v>705</v>
      </c>
      <c r="Q70" s="45">
        <f>INT((Q69+Q71)/2)</f>
        <v>30978</v>
      </c>
      <c r="R70" s="7" t="s">
        <v>680</v>
      </c>
      <c r="S70" s="45">
        <f>MIN(INT(Q70*1.5),ReadMe!$M$94)</f>
        <v>46467</v>
      </c>
    </row>
    <row r="71" spans="14:19" ht="14.25" thickBot="1">
      <c r="N71" s="14" t="s">
        <v>709</v>
      </c>
      <c r="O71" s="148">
        <f>MIN(INT(Q71*0.5),ReadMe!$M$94)</f>
        <v>19986</v>
      </c>
      <c r="P71" s="14" t="s">
        <v>706</v>
      </c>
      <c r="Q71" s="148">
        <f>MIN(INT(($P$4*Q67)*(1+$B$33+$E$33+$B$51)),ReadMe!$M$94)</f>
        <v>39972</v>
      </c>
      <c r="R71" s="14" t="s">
        <v>681</v>
      </c>
      <c r="S71" s="148">
        <f>MIN(INT(Q71*1.5),ReadMe!$M$94)</f>
        <v>59958</v>
      </c>
    </row>
    <row r="72" ht="14.25" thickBot="1"/>
    <row r="73" spans="14:19" ht="14.25" thickBot="1">
      <c r="N73" s="1062" t="s">
        <v>1050</v>
      </c>
      <c r="O73" s="1063"/>
      <c r="P73" s="1063"/>
      <c r="Q73" s="1064"/>
      <c r="R73" s="490" t="s">
        <v>113</v>
      </c>
      <c r="S73" s="486">
        <v>0.6</v>
      </c>
    </row>
    <row r="74" spans="14:19" ht="14.25" thickBot="1">
      <c r="N74" s="1205" t="s">
        <v>959</v>
      </c>
      <c r="O74" s="1206"/>
      <c r="P74" s="487">
        <v>1</v>
      </c>
      <c r="Q74" s="1115" t="s">
        <v>997</v>
      </c>
      <c r="R74" s="1116"/>
      <c r="S74" s="332">
        <v>1</v>
      </c>
    </row>
    <row r="75" spans="14:19" ht="13.5">
      <c r="N75" s="988" t="s">
        <v>131</v>
      </c>
      <c r="O75" s="77" t="s">
        <v>56</v>
      </c>
      <c r="P75" s="554">
        <f>MIN(INT(($R$4*P74)*(1+$B$33+$E$33+$B$51)),ReadMe!$M$94)</f>
        <v>3508</v>
      </c>
      <c r="Q75" s="975" t="s">
        <v>406</v>
      </c>
      <c r="R75" s="194" t="s">
        <v>56</v>
      </c>
      <c r="S75" s="160">
        <f>MIN(INT(P75*$E$41),ReadMe!$M$94)</f>
        <v>4209</v>
      </c>
    </row>
    <row r="76" spans="14:19" ht="13.5">
      <c r="N76" s="1051"/>
      <c r="O76" s="44" t="s">
        <v>57</v>
      </c>
      <c r="P76" s="555">
        <f>INT((P75+P77)/2)</f>
        <v>4943</v>
      </c>
      <c r="Q76" s="1069"/>
      <c r="R76" s="80" t="s">
        <v>57</v>
      </c>
      <c r="S76" s="161">
        <f>INT((S75+S77)/2)</f>
        <v>6888</v>
      </c>
    </row>
    <row r="77" spans="14:19" ht="14.25" thickBot="1">
      <c r="N77" s="989"/>
      <c r="O77" s="15" t="s">
        <v>58</v>
      </c>
      <c r="P77" s="556">
        <f>MIN(INT(($T$4*P74)*(1+$B$33+$E$33+$B$51)),ReadMe!$M$94)</f>
        <v>6378</v>
      </c>
      <c r="Q77" s="1070"/>
      <c r="R77" s="87" t="s">
        <v>58</v>
      </c>
      <c r="S77" s="162">
        <f>MIN(INT(P77*$F$41),ReadMe!$M$94)</f>
        <v>9567</v>
      </c>
    </row>
    <row r="78" spans="14:19" ht="14.25" thickBot="1">
      <c r="N78" s="1065" t="s">
        <v>127</v>
      </c>
      <c r="O78" s="1066"/>
      <c r="P78" s="1067"/>
      <c r="Q78" s="1065">
        <f>INT(P76*(1-($G$41+$U$34))+S76*($G$41+$U$34))</f>
        <v>6401</v>
      </c>
      <c r="R78" s="1066"/>
      <c r="S78" s="1067"/>
    </row>
    <row r="79" spans="14:19" ht="14.25" thickBot="1">
      <c r="N79" s="1065" t="s">
        <v>407</v>
      </c>
      <c r="O79" s="1066"/>
      <c r="P79" s="1067"/>
      <c r="Q79" s="1294">
        <f>Q78*S74</f>
        <v>6401</v>
      </c>
      <c r="R79" s="1295"/>
      <c r="S79" s="1296"/>
    </row>
  </sheetData>
  <sheetProtection/>
  <protectedRanges>
    <protectedRange sqref="D44:D45 D47" name="範囲1_1_1"/>
  </protectedRanges>
  <mergeCells count="144">
    <mergeCell ref="I39:J39"/>
    <mergeCell ref="I41:J41"/>
    <mergeCell ref="W62:Y64"/>
    <mergeCell ref="Q64:R64"/>
    <mergeCell ref="N56:N58"/>
    <mergeCell ref="Q56:R56"/>
    <mergeCell ref="S56:U58"/>
    <mergeCell ref="W56:Y58"/>
    <mergeCell ref="Q58:R58"/>
    <mergeCell ref="N59:N61"/>
    <mergeCell ref="Q59:Q60"/>
    <mergeCell ref="T59:T60"/>
    <mergeCell ref="W50:Y52"/>
    <mergeCell ref="Q52:R52"/>
    <mergeCell ref="N53:N55"/>
    <mergeCell ref="Q53:Q55"/>
    <mergeCell ref="T53:T55"/>
    <mergeCell ref="U53:U55"/>
    <mergeCell ref="Q38:Q40"/>
    <mergeCell ref="T38:T40"/>
    <mergeCell ref="U38:U40"/>
    <mergeCell ref="N33:U33"/>
    <mergeCell ref="N35:N37"/>
    <mergeCell ref="R34:S34"/>
    <mergeCell ref="Q35:Q36"/>
    <mergeCell ref="T35:T36"/>
    <mergeCell ref="U35:U37"/>
    <mergeCell ref="T28:T30"/>
    <mergeCell ref="U28:U30"/>
    <mergeCell ref="N31:R31"/>
    <mergeCell ref="S31:U31"/>
    <mergeCell ref="B46:C46"/>
    <mergeCell ref="N7:O7"/>
    <mergeCell ref="T7:U7"/>
    <mergeCell ref="N8:O8"/>
    <mergeCell ref="T8:U9"/>
    <mergeCell ref="N9:O9"/>
    <mergeCell ref="Q17:Q19"/>
    <mergeCell ref="T17:T19"/>
    <mergeCell ref="N26:U26"/>
    <mergeCell ref="R27:S27"/>
    <mergeCell ref="I48:J48"/>
    <mergeCell ref="B51:D51"/>
    <mergeCell ref="R2:T2"/>
    <mergeCell ref="B47:C47"/>
    <mergeCell ref="E47:F47"/>
    <mergeCell ref="B49:D49"/>
    <mergeCell ref="B50:D50"/>
    <mergeCell ref="B45:C45"/>
    <mergeCell ref="E45:F45"/>
    <mergeCell ref="I50:J50"/>
    <mergeCell ref="B44:C44"/>
    <mergeCell ref="E44:F44"/>
    <mergeCell ref="B39:C39"/>
    <mergeCell ref="B40:D40"/>
    <mergeCell ref="B41:D41"/>
    <mergeCell ref="B42:D42"/>
    <mergeCell ref="E42:G42"/>
    <mergeCell ref="Q79:S79"/>
    <mergeCell ref="N73:Q73"/>
    <mergeCell ref="N74:O74"/>
    <mergeCell ref="Q74:R74"/>
    <mergeCell ref="N75:N77"/>
    <mergeCell ref="N78:P78"/>
    <mergeCell ref="Q75:Q77"/>
    <mergeCell ref="Q78:S78"/>
    <mergeCell ref="N79:P79"/>
    <mergeCell ref="B57:L57"/>
    <mergeCell ref="B53:L53"/>
    <mergeCell ref="B56:L56"/>
    <mergeCell ref="B35:D35"/>
    <mergeCell ref="B36:D36"/>
    <mergeCell ref="B37:C37"/>
    <mergeCell ref="B55:L55"/>
    <mergeCell ref="I49:J49"/>
    <mergeCell ref="E46:F46"/>
    <mergeCell ref="I47:K47"/>
    <mergeCell ref="T41:T42"/>
    <mergeCell ref="N45:U45"/>
    <mergeCell ref="N47:N49"/>
    <mergeCell ref="Q47:Q48"/>
    <mergeCell ref="T47:T48"/>
    <mergeCell ref="U47:U49"/>
    <mergeCell ref="U41:U43"/>
    <mergeCell ref="N68:O68"/>
    <mergeCell ref="N66:S66"/>
    <mergeCell ref="Q68:R68"/>
    <mergeCell ref="Q41:Q42"/>
    <mergeCell ref="Q50:R50"/>
    <mergeCell ref="S50:U52"/>
    <mergeCell ref="U59:U61"/>
    <mergeCell ref="N62:N64"/>
    <mergeCell ref="Q62:R62"/>
    <mergeCell ref="S62:U64"/>
    <mergeCell ref="W49:Y49"/>
    <mergeCell ref="F1:P1"/>
    <mergeCell ref="N17:N19"/>
    <mergeCell ref="N11:U11"/>
    <mergeCell ref="R12:S12"/>
    <mergeCell ref="N16:R16"/>
    <mergeCell ref="S16:U16"/>
    <mergeCell ref="Q13:Q14"/>
    <mergeCell ref="N6:U6"/>
    <mergeCell ref="S20:U20"/>
    <mergeCell ref="B54:L54"/>
    <mergeCell ref="N20:R20"/>
    <mergeCell ref="N41:N43"/>
    <mergeCell ref="N38:N40"/>
    <mergeCell ref="N50:N52"/>
    <mergeCell ref="B32:D32"/>
    <mergeCell ref="E32:F32"/>
    <mergeCell ref="B33:D33"/>
    <mergeCell ref="B38:C38"/>
    <mergeCell ref="I43:K43"/>
    <mergeCell ref="W14:Y14"/>
    <mergeCell ref="W15:Y15"/>
    <mergeCell ref="T13:T14"/>
    <mergeCell ref="W16:Y16"/>
    <mergeCell ref="U13:U15"/>
    <mergeCell ref="W19:Y19"/>
    <mergeCell ref="W20:Y20"/>
    <mergeCell ref="W24:Y24"/>
    <mergeCell ref="W23:Y23"/>
    <mergeCell ref="U17:U19"/>
    <mergeCell ref="T21:T22"/>
    <mergeCell ref="U21:U23"/>
    <mergeCell ref="E33:F33"/>
    <mergeCell ref="E30:F30"/>
    <mergeCell ref="N21:N23"/>
    <mergeCell ref="Q21:Q22"/>
    <mergeCell ref="S24:U24"/>
    <mergeCell ref="N28:N30"/>
    <mergeCell ref="Q28:Q30"/>
    <mergeCell ref="B2:C2"/>
    <mergeCell ref="B26:C26"/>
    <mergeCell ref="N2:P2"/>
    <mergeCell ref="N13:N15"/>
    <mergeCell ref="N24:R24"/>
    <mergeCell ref="I35:K35"/>
    <mergeCell ref="I36:K36"/>
    <mergeCell ref="B29:K29"/>
    <mergeCell ref="B30:D30"/>
    <mergeCell ref="B31:D31"/>
    <mergeCell ref="E31:F31"/>
  </mergeCells>
  <printOptions/>
  <pageMargins left="0.75" right="0.75" top="1" bottom="1" header="0.512" footer="0.512"/>
  <pageSetup horizontalDpi="300" verticalDpi="300" orientation="portrait" paperSize="9" r:id="rId2"/>
  <ignoredErrors>
    <ignoredError sqref="G27:J27" formulaRange="1"/>
  </ignoredErrors>
  <legacyDrawing r:id="rId1"/>
</worksheet>
</file>

<file path=xl/worksheets/sheet12.xml><?xml version="1.0" encoding="utf-8"?>
<worksheet xmlns="http://schemas.openxmlformats.org/spreadsheetml/2006/main" xmlns:r="http://schemas.openxmlformats.org/officeDocument/2006/relationships">
  <dimension ref="A1:AF199"/>
  <sheetViews>
    <sheetView workbookViewId="0" topLeftCell="A1">
      <selection activeCell="A1" sqref="A1"/>
    </sheetView>
  </sheetViews>
  <sheetFormatPr defaultColWidth="9.00390625" defaultRowHeight="13.5"/>
  <cols>
    <col min="1" max="1" width="2.625" style="0" customWidth="1"/>
    <col min="2" max="11" width="5.625" style="0" customWidth="1"/>
    <col min="12" max="13" width="2.625" style="0" customWidth="1"/>
    <col min="15" max="15" width="9.125" style="0" bestFit="1" customWidth="1"/>
    <col min="17" max="17" width="9.125" style="0" bestFit="1" customWidth="1"/>
    <col min="19" max="19" width="9.125" style="0" bestFit="1" customWidth="1"/>
    <col min="20" max="20" width="9.50390625" style="0" bestFit="1" customWidth="1"/>
    <col min="21" max="21" width="9.125" style="0" bestFit="1" customWidth="1"/>
    <col min="22" max="22" width="4.625" style="0" customWidth="1"/>
    <col min="23" max="27" width="9.125" style="0" bestFit="1" customWidth="1"/>
    <col min="28" max="30" width="9.50390625" style="0" bestFit="1" customWidth="1"/>
  </cols>
  <sheetData>
    <row r="1" spans="6:16" ht="24.75" thickBot="1">
      <c r="F1" s="990" t="s">
        <v>529</v>
      </c>
      <c r="G1" s="990"/>
      <c r="H1" s="990"/>
      <c r="I1" s="990"/>
      <c r="J1" s="990"/>
      <c r="K1" s="990"/>
      <c r="L1" s="990"/>
      <c r="M1" s="990"/>
      <c r="N1" s="990"/>
      <c r="O1" s="990"/>
      <c r="P1" s="990"/>
    </row>
    <row r="2" spans="2:31" ht="14.25" thickBot="1">
      <c r="B2" s="1078" t="s">
        <v>282</v>
      </c>
      <c r="C2" s="1094"/>
      <c r="D2" s="2">
        <v>150</v>
      </c>
      <c r="E2" s="1"/>
      <c r="F2" s="3" t="s">
        <v>129</v>
      </c>
      <c r="G2" s="3" t="s">
        <v>525</v>
      </c>
      <c r="H2" s="3" t="s">
        <v>526</v>
      </c>
      <c r="I2" s="3" t="s">
        <v>528</v>
      </c>
      <c r="J2" s="3" t="s">
        <v>527</v>
      </c>
      <c r="K2" s="26" t="s">
        <v>430</v>
      </c>
      <c r="N2" s="991" t="s">
        <v>104</v>
      </c>
      <c r="O2" s="992"/>
      <c r="P2" s="987"/>
      <c r="R2" s="991" t="s">
        <v>418</v>
      </c>
      <c r="S2" s="992"/>
      <c r="T2" s="987"/>
      <c r="W2" s="1558" t="s">
        <v>1063</v>
      </c>
      <c r="X2" s="1559"/>
      <c r="Y2" s="1559"/>
      <c r="Z2" s="1559"/>
      <c r="AA2" s="1559"/>
      <c r="AB2" s="1559"/>
      <c r="AC2" s="1559"/>
      <c r="AD2" s="1559"/>
      <c r="AE2" s="1560"/>
    </row>
    <row r="3" spans="2:31" ht="14.25" thickBot="1">
      <c r="B3" s="5" t="s">
        <v>40</v>
      </c>
      <c r="C3" s="569"/>
      <c r="D3" s="6">
        <f>((D2-1)*5+IF(D2&gt;=120,35,IF(D2&gt;=70,30,25)))-(G3+H3+J3+I3)</f>
        <v>0</v>
      </c>
      <c r="E3" s="7" t="s">
        <v>41</v>
      </c>
      <c r="F3" s="8"/>
      <c r="G3" s="8">
        <v>752</v>
      </c>
      <c r="H3" s="8">
        <v>20</v>
      </c>
      <c r="I3" s="8">
        <v>4</v>
      </c>
      <c r="J3" s="8">
        <v>4</v>
      </c>
      <c r="K3" s="9"/>
      <c r="N3" s="10" t="s">
        <v>69</v>
      </c>
      <c r="O3" s="11" t="s">
        <v>70</v>
      </c>
      <c r="P3" s="12" t="s">
        <v>71</v>
      </c>
      <c r="R3" s="71" t="s">
        <v>69</v>
      </c>
      <c r="S3" s="72" t="s">
        <v>70</v>
      </c>
      <c r="T3" s="73" t="s">
        <v>71</v>
      </c>
      <c r="W3" s="1561"/>
      <c r="X3" s="1562"/>
      <c r="Y3" s="1562"/>
      <c r="Z3" s="1562"/>
      <c r="AA3" s="1562"/>
      <c r="AB3" s="1562"/>
      <c r="AC3" s="1562"/>
      <c r="AD3" s="1562"/>
      <c r="AE3" s="1563"/>
    </row>
    <row r="4" spans="2:31" ht="14.25" thickBot="1">
      <c r="B4" s="169" t="s">
        <v>43</v>
      </c>
      <c r="C4" s="416"/>
      <c r="D4" s="170">
        <v>5</v>
      </c>
      <c r="E4" s="7" t="s">
        <v>42</v>
      </c>
      <c r="F4" s="8">
        <v>100</v>
      </c>
      <c r="G4" s="8">
        <v>14</v>
      </c>
      <c r="H4" s="8"/>
      <c r="I4" s="8"/>
      <c r="J4" s="8"/>
      <c r="K4" s="9"/>
      <c r="N4" s="14">
        <f>P4*(0.2+0.5)</f>
        <v>8102.9003999999995</v>
      </c>
      <c r="O4" s="15">
        <f>(P4+N4)/2</f>
        <v>9839.2362</v>
      </c>
      <c r="P4" s="16">
        <f>$Q$4*($F$28+INT(($F$28-$F$25)*$E$31)+INT($F$28*($K$41+$K$50-1)))/100</f>
        <v>11575.572</v>
      </c>
      <c r="Q4" s="421">
        <f>1.7*(4*$G$28+$H$28)</f>
        <v>6466.8</v>
      </c>
      <c r="R4" s="14">
        <f>N4*$G$47*(1-$G$44/100)</f>
        <v>6077.1753</v>
      </c>
      <c r="S4" s="15">
        <f>O4*$G$47*(1-$G$44/100)</f>
        <v>7379.4271499999995</v>
      </c>
      <c r="T4" s="16">
        <f>P4*$G$47*(1-$G$44/100)</f>
        <v>8681.679</v>
      </c>
      <c r="W4" s="411" t="s">
        <v>1020</v>
      </c>
      <c r="X4" s="412">
        <v>1</v>
      </c>
      <c r="Y4" s="412">
        <v>2</v>
      </c>
      <c r="Z4" s="412">
        <v>0</v>
      </c>
      <c r="AA4" s="412">
        <v>0</v>
      </c>
      <c r="AB4" s="412">
        <v>0</v>
      </c>
      <c r="AC4" s="413">
        <v>0</v>
      </c>
      <c r="AD4" s="410"/>
      <c r="AE4" s="143"/>
    </row>
    <row r="5" spans="2:31" ht="14.25" thickBot="1">
      <c r="B5" s="249" t="s">
        <v>531</v>
      </c>
      <c r="C5" s="587"/>
      <c r="D5" s="250">
        <v>30</v>
      </c>
      <c r="E5" s="7" t="s">
        <v>44</v>
      </c>
      <c r="F5" s="8"/>
      <c r="G5" s="8"/>
      <c r="H5" s="8"/>
      <c r="I5" s="8"/>
      <c r="J5" s="8"/>
      <c r="K5" s="9"/>
      <c r="N5" s="22"/>
      <c r="O5" s="22"/>
      <c r="P5" s="22"/>
      <c r="Q5" s="421"/>
      <c r="R5" s="22"/>
      <c r="S5" s="22"/>
      <c r="T5" s="22"/>
      <c r="W5" s="10" t="s">
        <v>1019</v>
      </c>
      <c r="X5" s="383" t="str">
        <f>VLOOKUP($X$4,$W$10:$AA$23:$X$5,2)</f>
        <v>フィスト</v>
      </c>
      <c r="Y5" s="383" t="str">
        <f>VLOOKUP($Y$4,$W$10:$AA$23:$X$5,2)</f>
        <v>ドラスト</v>
      </c>
      <c r="Z5" s="383" t="str">
        <f>VLOOKUP($Z$4,$W$10:$AA$23:$X$5,2)</f>
        <v>なし</v>
      </c>
      <c r="AA5" s="383" t="str">
        <f>VLOOKUP($AA$4,$W$10:$AA$23:$X$5,2)</f>
        <v>なし</v>
      </c>
      <c r="AB5" s="383" t="str">
        <f>VLOOKUP($AB$4,$W$10:$AA$23:$X$5,2)</f>
        <v>なし</v>
      </c>
      <c r="AC5" s="402" t="str">
        <f>VLOOKUP($AC$4,$W$10:$AA$23:$X$5,2)</f>
        <v>なし</v>
      </c>
      <c r="AD5" s="988" t="s">
        <v>1023</v>
      </c>
      <c r="AE5" s="1374"/>
    </row>
    <row r="6" spans="2:31" ht="14.25" thickBot="1">
      <c r="B6" s="602" t="s">
        <v>554</v>
      </c>
      <c r="C6" s="603"/>
      <c r="D6" s="251">
        <v>30</v>
      </c>
      <c r="E6" s="43" t="s">
        <v>45</v>
      </c>
      <c r="F6" s="8"/>
      <c r="G6" s="8">
        <v>10</v>
      </c>
      <c r="H6" s="8">
        <v>20</v>
      </c>
      <c r="I6" s="8">
        <v>10</v>
      </c>
      <c r="J6" s="8">
        <v>10</v>
      </c>
      <c r="K6" s="9">
        <v>10</v>
      </c>
      <c r="N6" s="1270" t="s">
        <v>717</v>
      </c>
      <c r="O6" s="1196"/>
      <c r="P6" s="1196"/>
      <c r="Q6" s="1196"/>
      <c r="R6" s="1271"/>
      <c r="S6" s="484"/>
      <c r="T6" s="484"/>
      <c r="W6" s="7" t="s">
        <v>140</v>
      </c>
      <c r="X6" s="381">
        <f>VLOOKUP($X$4,$W$10:$AA$21:$X$5,3)</f>
        <v>200906</v>
      </c>
      <c r="Y6" s="381">
        <f>VLOOKUP($Y$4,$W$10:$AA$21:$X$5,3)</f>
        <v>64750</v>
      </c>
      <c r="Z6" s="381">
        <f>VLOOKUP($Z$4,$W$10:$AA$21:$X$5,3)</f>
        <v>0</v>
      </c>
      <c r="AA6" s="381">
        <f>VLOOKUP($AA$4,$W$10:$AA$21:$X$5,3)</f>
        <v>0</v>
      </c>
      <c r="AB6" s="381">
        <f>VLOOKUP($AB$4,$W$10:$AA$21:$X$5,3)</f>
        <v>0</v>
      </c>
      <c r="AC6" s="403">
        <f>VLOOKUP($AC$4,$W$10:$AA$21:$X$5,3)</f>
        <v>0</v>
      </c>
      <c r="AD6" s="1564">
        <f>INT(SUM(X6:AC6)*AD8)</f>
        <v>5692628</v>
      </c>
      <c r="AE6" s="1565"/>
    </row>
    <row r="7" spans="2:31" ht="14.25" thickBot="1">
      <c r="B7" s="252" t="s">
        <v>557</v>
      </c>
      <c r="C7" s="593"/>
      <c r="D7" s="251">
        <v>30</v>
      </c>
      <c r="E7" s="43" t="s">
        <v>46</v>
      </c>
      <c r="F7" s="8"/>
      <c r="G7" s="8"/>
      <c r="H7" s="8">
        <v>7</v>
      </c>
      <c r="I7" s="8"/>
      <c r="J7" s="8"/>
      <c r="K7" s="9"/>
      <c r="N7" s="1" t="s">
        <v>715</v>
      </c>
      <c r="O7" s="3"/>
      <c r="P7" s="626">
        <v>0.15</v>
      </c>
      <c r="Q7" s="767" t="s">
        <v>716</v>
      </c>
      <c r="R7" s="779"/>
      <c r="S7" s="484" t="b">
        <v>0</v>
      </c>
      <c r="T7" s="484" t="str">
        <f>IF(S7=TRUE,"TRUE",IF(R7=1,"TRUE","FLASE"))</f>
        <v>FLASE</v>
      </c>
      <c r="W7" s="7" t="s">
        <v>1017</v>
      </c>
      <c r="X7" s="381">
        <f>VLOOKUP($X$4,$W$10:$AA$21:$X$5,4)</f>
        <v>1.75</v>
      </c>
      <c r="Y7" s="381">
        <f>VLOOKUP($Y$4,$W$10:$AA$21:$X$5,4)</f>
        <v>0.835</v>
      </c>
      <c r="Z7" s="381">
        <f>VLOOKUP($Z$4,$W$10:$AA$21:$X$5,4)</f>
        <v>0</v>
      </c>
      <c r="AA7" s="381">
        <f>VLOOKUP($AA$4,$W$10:$AA$21:$X$5,4)</f>
        <v>0</v>
      </c>
      <c r="AB7" s="381">
        <f>VLOOKUP($AB$4,$W$10:$AA$21:$X$5,4)</f>
        <v>0</v>
      </c>
      <c r="AC7" s="403">
        <f>VLOOKUP($AC$4,$W$10:$AA$21:$X$5,4)</f>
        <v>0</v>
      </c>
      <c r="AD7" s="1554" t="s">
        <v>732</v>
      </c>
      <c r="AE7" s="1555"/>
    </row>
    <row r="8" spans="2:31" ht="14.25" thickBot="1">
      <c r="B8" s="252" t="s">
        <v>532</v>
      </c>
      <c r="C8" s="593"/>
      <c r="D8" s="251">
        <v>30</v>
      </c>
      <c r="E8" s="43" t="s">
        <v>47</v>
      </c>
      <c r="F8" s="8">
        <v>2</v>
      </c>
      <c r="G8" s="8"/>
      <c r="H8" s="8">
        <v>2</v>
      </c>
      <c r="I8" s="8"/>
      <c r="J8" s="8"/>
      <c r="K8" s="9">
        <v>7</v>
      </c>
      <c r="N8" s="54" t="s">
        <v>714</v>
      </c>
      <c r="O8" s="15"/>
      <c r="P8" s="780">
        <v>0.2</v>
      </c>
      <c r="Q8" s="786" t="s">
        <v>716</v>
      </c>
      <c r="R8" s="533"/>
      <c r="S8" s="484" t="b">
        <v>0</v>
      </c>
      <c r="T8" s="484" t="str">
        <f>IF(S8=TRUE,"TRUE",IF(R8=1,"TRUE","FLASE"))</f>
        <v>FLASE</v>
      </c>
      <c r="W8" s="14" t="s">
        <v>1021</v>
      </c>
      <c r="X8" s="382">
        <f>VLOOKUP($X$4,$W$10:$AA$21:$X$5,5)</f>
        <v>2.8</v>
      </c>
      <c r="Y8" s="382">
        <f>VLOOKUP($Y$4,$W$10:$AA$21:$X$5,5)</f>
        <v>0.835</v>
      </c>
      <c r="Z8" s="382">
        <f>VLOOKUP($Z$4,$W$10:$AA$21:$X$5,5)</f>
        <v>0</v>
      </c>
      <c r="AA8" s="382">
        <f>VLOOKUP($AA$4,$W$10:$AA$21:$X$5,5)</f>
        <v>0</v>
      </c>
      <c r="AB8" s="382">
        <f>VLOOKUP($AB$4,$W$10:$AA$21:$X$5,5)</f>
        <v>0</v>
      </c>
      <c r="AC8" s="404">
        <f>VLOOKUP($AC$4,$W$10:$AA$21:$X$5,5)</f>
        <v>0</v>
      </c>
      <c r="AD8" s="1556">
        <f>(60/IF(SUM($X$7:$AC$7)&lt;MAX(X8:AC8),MAX(X8:AC8),SUM(X7:AC7)))</f>
        <v>21.42857142857143</v>
      </c>
      <c r="AE8" s="1557"/>
    </row>
    <row r="9" spans="2:31" ht="14.25" thickBot="1">
      <c r="B9" s="324" t="s">
        <v>553</v>
      </c>
      <c r="C9" s="583"/>
      <c r="D9" s="325">
        <v>30</v>
      </c>
      <c r="E9" s="43" t="s">
        <v>48</v>
      </c>
      <c r="F9" s="8"/>
      <c r="G9" s="8">
        <v>7</v>
      </c>
      <c r="H9" s="8">
        <v>7</v>
      </c>
      <c r="I9" s="8">
        <v>7</v>
      </c>
      <c r="J9" s="8">
        <v>7</v>
      </c>
      <c r="K9" s="9"/>
      <c r="N9" s="58"/>
      <c r="O9" s="22"/>
      <c r="Q9" s="421"/>
      <c r="R9" s="22"/>
      <c r="S9" s="22"/>
      <c r="W9" s="330"/>
      <c r="X9" s="331"/>
      <c r="Y9" s="331"/>
      <c r="Z9" s="331"/>
      <c r="AA9" s="331"/>
      <c r="AB9" s="237"/>
      <c r="AC9" s="416"/>
      <c r="AD9" s="416"/>
      <c r="AE9" s="416"/>
    </row>
    <row r="10" spans="2:31" ht="15" thickBot="1" thickTop="1">
      <c r="B10" s="323" t="s">
        <v>556</v>
      </c>
      <c r="C10" s="599"/>
      <c r="D10" s="223">
        <v>20</v>
      </c>
      <c r="E10" s="43" t="s">
        <v>49</v>
      </c>
      <c r="F10" s="8"/>
      <c r="G10" s="8"/>
      <c r="H10" s="8">
        <v>10</v>
      </c>
      <c r="I10" s="8"/>
      <c r="J10" s="8"/>
      <c r="K10" s="9"/>
      <c r="N10" s="977" t="s">
        <v>576</v>
      </c>
      <c r="O10" s="978"/>
      <c r="P10" s="978"/>
      <c r="Q10" s="978"/>
      <c r="R10" s="978"/>
      <c r="S10" s="978"/>
      <c r="T10" s="978"/>
      <c r="U10" s="979"/>
      <c r="W10" s="395" t="s">
        <v>1020</v>
      </c>
      <c r="X10" s="394" t="s">
        <v>1019</v>
      </c>
      <c r="Y10" s="390" t="s">
        <v>422</v>
      </c>
      <c r="Z10" s="391" t="s">
        <v>1017</v>
      </c>
      <c r="AA10" s="414" t="s">
        <v>1018</v>
      </c>
      <c r="AB10" s="23"/>
      <c r="AC10" s="22"/>
      <c r="AD10" s="22"/>
      <c r="AE10" s="22"/>
    </row>
    <row r="11" spans="2:31" ht="14.25" thickBot="1">
      <c r="B11" s="236" t="s">
        <v>571</v>
      </c>
      <c r="C11" s="600"/>
      <c r="D11" s="9">
        <v>20</v>
      </c>
      <c r="E11" s="43" t="s">
        <v>390</v>
      </c>
      <c r="F11" s="8"/>
      <c r="G11" s="8">
        <v>5</v>
      </c>
      <c r="H11" s="8">
        <v>25</v>
      </c>
      <c r="I11" s="8"/>
      <c r="J11" s="8"/>
      <c r="K11" s="9">
        <v>10</v>
      </c>
      <c r="N11" s="92" t="s">
        <v>223</v>
      </c>
      <c r="O11" s="93">
        <f>D8</f>
        <v>30</v>
      </c>
      <c r="P11" s="658" t="s">
        <v>51</v>
      </c>
      <c r="Q11" s="659">
        <f>(290+4*O11)/100</f>
        <v>4.1</v>
      </c>
      <c r="R11" s="274" t="s">
        <v>66</v>
      </c>
      <c r="S11" s="656">
        <v>26</v>
      </c>
      <c r="T11" s="660" t="s">
        <v>98</v>
      </c>
      <c r="U11" s="649">
        <f>(5+INT(O11/2))/100</f>
        <v>0.2</v>
      </c>
      <c r="W11" s="396">
        <v>0</v>
      </c>
      <c r="X11" s="801" t="s">
        <v>1029</v>
      </c>
      <c r="Y11" s="802">
        <v>0</v>
      </c>
      <c r="Z11" s="3">
        <v>0</v>
      </c>
      <c r="AA11" s="4">
        <v>0</v>
      </c>
      <c r="AB11" s="22" t="s">
        <v>366</v>
      </c>
      <c r="AD11" s="22"/>
      <c r="AE11" s="22"/>
    </row>
    <row r="12" spans="2:31" ht="14.25" thickBot="1">
      <c r="B12" s="326" t="s">
        <v>555</v>
      </c>
      <c r="C12" s="601"/>
      <c r="D12" s="325">
        <v>30</v>
      </c>
      <c r="E12" s="43" t="s">
        <v>339</v>
      </c>
      <c r="F12" s="8"/>
      <c r="G12" s="8"/>
      <c r="H12" s="8"/>
      <c r="I12" s="8"/>
      <c r="J12" s="8"/>
      <c r="K12" s="9"/>
      <c r="N12" s="988" t="s">
        <v>107</v>
      </c>
      <c r="O12" s="77" t="s">
        <v>56</v>
      </c>
      <c r="P12" s="554">
        <f>MIN(INT(($N$4*$G$48*Q11)*(1+$B$33+$E$33+$B$51)*(IF($T$8="true",$P$8,0)+$A$24)),ReadMe!$M$94)</f>
        <v>30564</v>
      </c>
      <c r="Q12" s="975" t="s">
        <v>406</v>
      </c>
      <c r="R12" s="194" t="s">
        <v>56</v>
      </c>
      <c r="S12" s="160">
        <f>MIN(INT(P12*$E$41),ReadMe!$M$94)</f>
        <v>39733</v>
      </c>
      <c r="T12" s="1432" t="s">
        <v>127</v>
      </c>
      <c r="U12" s="1408">
        <f>INT(P13*(1-$G$41)+S13*$G$41)</f>
        <v>40988</v>
      </c>
      <c r="W12" s="397">
        <v>1</v>
      </c>
      <c r="X12" s="803" t="s">
        <v>1005</v>
      </c>
      <c r="Y12" s="385">
        <f>INT(U24)</f>
        <v>200906</v>
      </c>
      <c r="Z12" s="376">
        <v>1.75</v>
      </c>
      <c r="AA12" s="804">
        <v>2.8</v>
      </c>
      <c r="AB12" s="22" t="s">
        <v>367</v>
      </c>
      <c r="AC12" s="22"/>
      <c r="AD12" s="22"/>
      <c r="AE12" s="22"/>
    </row>
    <row r="13" spans="2:31" ht="14.25" thickTop="1">
      <c r="B13" s="10" t="s">
        <v>676</v>
      </c>
      <c r="C13" s="585"/>
      <c r="D13" s="223">
        <v>20</v>
      </c>
      <c r="E13" s="43" t="s">
        <v>389</v>
      </c>
      <c r="F13" s="8"/>
      <c r="G13" s="8"/>
      <c r="H13" s="8"/>
      <c r="I13" s="8"/>
      <c r="J13" s="8"/>
      <c r="K13" s="9"/>
      <c r="N13" s="1051"/>
      <c r="O13" s="44" t="s">
        <v>57</v>
      </c>
      <c r="P13" s="555">
        <f>INT((P12+P14)/2)</f>
        <v>37113</v>
      </c>
      <c r="Q13" s="1069"/>
      <c r="R13" s="80" t="s">
        <v>57</v>
      </c>
      <c r="S13" s="161">
        <f>INT((S12+S14)/2)</f>
        <v>52613</v>
      </c>
      <c r="T13" s="1433"/>
      <c r="U13" s="1409"/>
      <c r="W13" s="397">
        <v>2</v>
      </c>
      <c r="X13" s="803" t="s">
        <v>1006</v>
      </c>
      <c r="Y13" s="386">
        <f>INT(U34)</f>
        <v>64750</v>
      </c>
      <c r="Z13" s="376">
        <v>0.835</v>
      </c>
      <c r="AA13" s="804">
        <v>0.835</v>
      </c>
      <c r="AB13" s="22" t="s">
        <v>368</v>
      </c>
      <c r="AC13" s="22"/>
      <c r="AD13" s="22"/>
      <c r="AE13" s="22"/>
    </row>
    <row r="14" spans="2:31" ht="14.25" thickBot="1">
      <c r="B14" s="586" t="s">
        <v>674</v>
      </c>
      <c r="C14" s="645"/>
      <c r="D14" s="9">
        <v>20</v>
      </c>
      <c r="E14" s="43" t="s">
        <v>59</v>
      </c>
      <c r="F14" s="8"/>
      <c r="G14" s="8">
        <v>10</v>
      </c>
      <c r="H14" s="8">
        <v>10</v>
      </c>
      <c r="I14" s="8"/>
      <c r="J14" s="8"/>
      <c r="K14" s="9"/>
      <c r="N14" s="989"/>
      <c r="O14" s="15" t="s">
        <v>58</v>
      </c>
      <c r="P14" s="556">
        <f>MIN(INT(($P$4*$G$48*Q11)*(1+$B$33+$E$33+$B$51)*(IF($T$8="true",$P$8,0)+$A$24)),ReadMe!$M$94)</f>
        <v>43663</v>
      </c>
      <c r="Q14" s="1070"/>
      <c r="R14" s="87" t="s">
        <v>58</v>
      </c>
      <c r="S14" s="162">
        <f>MIN(INT(P14*$F$41),ReadMe!$M$94)</f>
        <v>65494</v>
      </c>
      <c r="T14" s="1443"/>
      <c r="U14" s="1459"/>
      <c r="W14" s="397">
        <v>3</v>
      </c>
      <c r="X14" s="803" t="s">
        <v>1009</v>
      </c>
      <c r="Y14" s="386">
        <f>INT(U40)</f>
        <v>72150</v>
      </c>
      <c r="Z14" s="377">
        <v>0.91</v>
      </c>
      <c r="AA14" s="805">
        <v>0.91</v>
      </c>
      <c r="AB14" s="22"/>
      <c r="AC14" s="22"/>
      <c r="AD14" s="22"/>
      <c r="AE14" s="22"/>
    </row>
    <row r="15" spans="2:31" ht="14.25" thickBot="1">
      <c r="B15" s="326" t="s">
        <v>672</v>
      </c>
      <c r="C15" s="601"/>
      <c r="D15" s="325">
        <v>20</v>
      </c>
      <c r="E15" s="43" t="s">
        <v>60</v>
      </c>
      <c r="F15" s="8">
        <v>15</v>
      </c>
      <c r="G15" s="8"/>
      <c r="H15" s="8"/>
      <c r="I15" s="8"/>
      <c r="J15" s="8"/>
      <c r="K15" s="9"/>
      <c r="N15" s="1334" t="s">
        <v>719</v>
      </c>
      <c r="O15" s="1335"/>
      <c r="P15" s="657" t="s">
        <v>56</v>
      </c>
      <c r="Q15" s="778">
        <f>P12*8</f>
        <v>244512</v>
      </c>
      <c r="R15" s="550"/>
      <c r="S15" s="503"/>
      <c r="T15" s="1121">
        <f>U18*S11*$G$46</f>
        <v>8414301.773913043</v>
      </c>
      <c r="U15" s="1122"/>
      <c r="W15" s="397">
        <v>4</v>
      </c>
      <c r="X15" s="806" t="s">
        <v>1012</v>
      </c>
      <c r="Y15" s="387">
        <f>INT(U18)</f>
        <v>323626</v>
      </c>
      <c r="Z15" s="378">
        <v>2.3</v>
      </c>
      <c r="AA15" s="807">
        <v>2.3</v>
      </c>
      <c r="AB15" s="22"/>
      <c r="AC15" s="22"/>
      <c r="AD15" s="22"/>
      <c r="AE15" s="22"/>
    </row>
    <row r="16" spans="2:32" ht="15" thickBot="1" thickTop="1">
      <c r="B16" s="71" t="s">
        <v>1016</v>
      </c>
      <c r="C16" s="22"/>
      <c r="D16" s="783">
        <v>20</v>
      </c>
      <c r="E16" s="43" t="s">
        <v>61</v>
      </c>
      <c r="F16" s="8">
        <v>4</v>
      </c>
      <c r="G16" s="8"/>
      <c r="H16" s="8">
        <v>8</v>
      </c>
      <c r="I16" s="8"/>
      <c r="J16" s="8"/>
      <c r="K16" s="9"/>
      <c r="N16" s="1334"/>
      <c r="O16" s="1335"/>
      <c r="P16" s="179" t="s">
        <v>140</v>
      </c>
      <c r="Q16" s="272">
        <f>U12*8</f>
        <v>327904</v>
      </c>
      <c r="R16" s="1341" t="s">
        <v>1208</v>
      </c>
      <c r="S16" s="1591"/>
      <c r="T16" s="1123"/>
      <c r="U16" s="1124"/>
      <c r="W16" s="397">
        <v>5</v>
      </c>
      <c r="X16" s="808" t="s">
        <v>1014</v>
      </c>
      <c r="Y16" s="387">
        <f>INT(U46)</f>
        <v>52724</v>
      </c>
      <c r="Z16" s="380">
        <v>0.75</v>
      </c>
      <c r="AA16" s="809">
        <v>1.3</v>
      </c>
      <c r="AB16" s="22"/>
      <c r="AC16" s="22"/>
      <c r="AD16" s="22"/>
      <c r="AE16" s="22"/>
      <c r="AF16" s="22"/>
    </row>
    <row r="17" spans="2:32" ht="14.25" thickBot="1">
      <c r="B17" s="784" t="s">
        <v>718</v>
      </c>
      <c r="C17" s="785"/>
      <c r="D17" s="332">
        <v>20</v>
      </c>
      <c r="E17" s="43" t="s">
        <v>1059</v>
      </c>
      <c r="F17" s="8"/>
      <c r="G17" s="8">
        <v>3</v>
      </c>
      <c r="H17" s="8">
        <v>3</v>
      </c>
      <c r="I17" s="8">
        <v>3</v>
      </c>
      <c r="J17" s="8">
        <v>3</v>
      </c>
      <c r="K17" s="9"/>
      <c r="N17" s="1276"/>
      <c r="O17" s="1336"/>
      <c r="P17" s="95" t="s">
        <v>133</v>
      </c>
      <c r="Q17" s="159">
        <f>S14*8</f>
        <v>523952</v>
      </c>
      <c r="R17" s="1106"/>
      <c r="S17" s="1107"/>
      <c r="T17" s="1125"/>
      <c r="U17" s="1126"/>
      <c r="W17" s="398">
        <v>6</v>
      </c>
      <c r="X17" s="810" t="s">
        <v>1013</v>
      </c>
      <c r="Y17" s="388">
        <f>INT(U64)</f>
        <v>55499</v>
      </c>
      <c r="Z17" s="379">
        <v>1.5</v>
      </c>
      <c r="AA17" s="811">
        <v>1.5</v>
      </c>
      <c r="AB17" s="22"/>
      <c r="AC17" s="22"/>
      <c r="AD17" s="22"/>
      <c r="AE17" s="22"/>
      <c r="AF17" s="22"/>
    </row>
    <row r="18" spans="1:32" ht="14.25" thickBot="1">
      <c r="A18" s="421"/>
      <c r="B18" s="23"/>
      <c r="C18" s="22"/>
      <c r="D18" s="143"/>
      <c r="E18" s="43" t="s">
        <v>1059</v>
      </c>
      <c r="F18" s="8">
        <v>1</v>
      </c>
      <c r="G18" s="8">
        <v>1</v>
      </c>
      <c r="H18" s="8">
        <v>1</v>
      </c>
      <c r="I18" s="8">
        <v>1</v>
      </c>
      <c r="J18" s="8">
        <v>1</v>
      </c>
      <c r="K18" s="9"/>
      <c r="U18" s="421">
        <f>(Q16/(IF($T$8="true",$P$8,0)+$A$24))*(IF($T$8="true",$P$8,0)+$A$25)</f>
        <v>323626.9913043478</v>
      </c>
      <c r="W18" s="398">
        <v>7</v>
      </c>
      <c r="X18" s="812" t="s">
        <v>1010</v>
      </c>
      <c r="Y18" s="386">
        <f>INT(U52)</f>
        <v>46249</v>
      </c>
      <c r="Z18" s="377">
        <v>0.57</v>
      </c>
      <c r="AA18" s="805">
        <v>0.57</v>
      </c>
      <c r="AB18" s="22"/>
      <c r="AC18" s="22"/>
      <c r="AD18" s="22"/>
      <c r="AE18" s="22"/>
      <c r="AF18" s="22"/>
    </row>
    <row r="19" spans="1:32" ht="14.25" thickBot="1">
      <c r="A19" s="421"/>
      <c r="B19" s="23"/>
      <c r="C19" s="22"/>
      <c r="D19" s="143"/>
      <c r="E19" s="43" t="s">
        <v>1059</v>
      </c>
      <c r="F19" s="8">
        <v>1</v>
      </c>
      <c r="G19" s="8">
        <v>1</v>
      </c>
      <c r="H19" s="8">
        <v>1</v>
      </c>
      <c r="I19" s="8">
        <v>1</v>
      </c>
      <c r="J19" s="8">
        <v>1</v>
      </c>
      <c r="K19" s="9"/>
      <c r="N19" s="977" t="s">
        <v>669</v>
      </c>
      <c r="O19" s="978"/>
      <c r="P19" s="978"/>
      <c r="Q19" s="978"/>
      <c r="R19" s="978"/>
      <c r="S19" s="979"/>
      <c r="U19" s="661"/>
      <c r="W19" s="398">
        <v>8</v>
      </c>
      <c r="X19" s="813" t="s">
        <v>1011</v>
      </c>
      <c r="Y19" s="387">
        <f>INT(U58)</f>
        <v>37000</v>
      </c>
      <c r="Z19" s="378">
        <v>0.41</v>
      </c>
      <c r="AA19" s="807">
        <v>0.41</v>
      </c>
      <c r="AB19" s="22"/>
      <c r="AC19" s="22"/>
      <c r="AD19" s="22"/>
      <c r="AE19" s="22"/>
      <c r="AF19" s="22"/>
    </row>
    <row r="20" spans="1:31" ht="14.25" thickBot="1">
      <c r="A20" s="421"/>
      <c r="B20" s="23"/>
      <c r="C20" s="22"/>
      <c r="D20" s="143"/>
      <c r="E20" s="43" t="s">
        <v>1059</v>
      </c>
      <c r="F20" s="8"/>
      <c r="G20" s="8"/>
      <c r="H20" s="8"/>
      <c r="I20" s="8"/>
      <c r="J20" s="8"/>
      <c r="K20" s="9"/>
      <c r="N20" s="263" t="s">
        <v>223</v>
      </c>
      <c r="O20" s="221">
        <f>D5</f>
        <v>30</v>
      </c>
      <c r="P20" s="240" t="s">
        <v>51</v>
      </c>
      <c r="Q20" s="264">
        <f>(242+4*O20)/100</f>
        <v>3.62</v>
      </c>
      <c r="R20" s="53" t="s">
        <v>66</v>
      </c>
      <c r="S20" s="74">
        <v>21</v>
      </c>
      <c r="W20" s="399">
        <v>9</v>
      </c>
      <c r="X20" s="803" t="s">
        <v>1008</v>
      </c>
      <c r="Y20" s="386">
        <f>INT(U70)</f>
        <v>56422</v>
      </c>
      <c r="Z20" s="376">
        <v>0.86</v>
      </c>
      <c r="AA20" s="804">
        <v>2.15</v>
      </c>
      <c r="AB20" s="22"/>
      <c r="AC20" s="22"/>
      <c r="AD20" s="22"/>
      <c r="AE20" s="22"/>
    </row>
    <row r="21" spans="1:32" ht="14.25" thickBot="1">
      <c r="A21" s="421"/>
      <c r="B21" s="48"/>
      <c r="C21" s="782"/>
      <c r="D21" s="239"/>
      <c r="E21" s="43" t="s">
        <v>970</v>
      </c>
      <c r="F21" s="8"/>
      <c r="G21" s="8">
        <v>2</v>
      </c>
      <c r="H21" s="8">
        <v>2</v>
      </c>
      <c r="I21" s="8">
        <v>2</v>
      </c>
      <c r="J21" s="8">
        <v>2</v>
      </c>
      <c r="K21" s="9"/>
      <c r="N21" s="988" t="s">
        <v>107</v>
      </c>
      <c r="O21" s="77" t="s">
        <v>56</v>
      </c>
      <c r="P21" s="554">
        <f>MIN(INT(($R$4*Q20)*(1+$B$33+$E$33+$B$51)*(IF($T$8="true",$P$8,0)+$A$24)),ReadMe!$M$94)</f>
        <v>25299</v>
      </c>
      <c r="Q21" s="975" t="s">
        <v>406</v>
      </c>
      <c r="R21" s="194" t="s">
        <v>56</v>
      </c>
      <c r="S21" s="160">
        <f>MIN(INT(P21*$E$41),ReadMe!$M$94)</f>
        <v>32888</v>
      </c>
      <c r="T21" s="1432" t="s">
        <v>127</v>
      </c>
      <c r="U21" s="1408">
        <f>INT(P22*(1-$G$41)+S22*$G$41)</f>
        <v>33927</v>
      </c>
      <c r="W21" s="400">
        <v>10</v>
      </c>
      <c r="X21" s="808" t="s">
        <v>1022</v>
      </c>
      <c r="Y21" s="389">
        <f>INT(U79*0.25)</f>
        <v>14106</v>
      </c>
      <c r="Z21" s="381">
        <v>0.6</v>
      </c>
      <c r="AA21" s="242">
        <v>1.5</v>
      </c>
      <c r="AB21" s="22"/>
      <c r="AC21" s="22"/>
      <c r="AD21" s="22"/>
      <c r="AE21" s="22"/>
      <c r="AF21" s="22"/>
    </row>
    <row r="22" spans="1:32" ht="13.5">
      <c r="A22" s="421" t="b">
        <v>1</v>
      </c>
      <c r="B22" s="781" t="s">
        <v>101</v>
      </c>
      <c r="C22" s="11"/>
      <c r="D22" s="223">
        <v>10</v>
      </c>
      <c r="E22" s="43" t="s">
        <v>972</v>
      </c>
      <c r="F22" s="8"/>
      <c r="G22" s="8">
        <v>3</v>
      </c>
      <c r="H22" s="8">
        <v>3</v>
      </c>
      <c r="I22" s="8">
        <v>3</v>
      </c>
      <c r="J22" s="8">
        <v>3</v>
      </c>
      <c r="K22" s="9"/>
      <c r="N22" s="1051"/>
      <c r="O22" s="44" t="s">
        <v>57</v>
      </c>
      <c r="P22" s="555">
        <f>INT((P21+P23)/2)</f>
        <v>30720</v>
      </c>
      <c r="Q22" s="1069"/>
      <c r="R22" s="80" t="s">
        <v>57</v>
      </c>
      <c r="S22" s="161">
        <f>INT((S21+S23)/2)</f>
        <v>43549</v>
      </c>
      <c r="T22" s="1433"/>
      <c r="U22" s="1409"/>
      <c r="W22" s="400">
        <v>11</v>
      </c>
      <c r="X22" s="808" t="s">
        <v>1030</v>
      </c>
      <c r="Y22" s="280">
        <f>INT(U85)</f>
        <v>39774</v>
      </c>
      <c r="Z22" s="44">
        <v>0.7</v>
      </c>
      <c r="AA22" s="45">
        <v>2</v>
      </c>
      <c r="AB22" s="22"/>
      <c r="AC22" s="22"/>
      <c r="AD22" s="22"/>
      <c r="AE22" s="22"/>
      <c r="AF22" s="22"/>
    </row>
    <row r="23" spans="1:32" ht="14.25" thickBot="1">
      <c r="A23" s="421" t="str">
        <f>IF(A22=TRUE,"TRUE",IF(D23=1,"TRUE","FLASE"))</f>
        <v>TRUE</v>
      </c>
      <c r="B23" s="14" t="s">
        <v>499</v>
      </c>
      <c r="C23" s="15"/>
      <c r="D23" s="533"/>
      <c r="E23" s="43" t="s">
        <v>1210</v>
      </c>
      <c r="F23" s="8"/>
      <c r="G23" s="8"/>
      <c r="H23" s="8"/>
      <c r="I23" s="8"/>
      <c r="J23" s="8"/>
      <c r="K23" s="9"/>
      <c r="N23" s="989"/>
      <c r="O23" s="15" t="s">
        <v>58</v>
      </c>
      <c r="P23" s="556">
        <f>MIN(INT(($T$4*Q20)*(1+$B$33+$E$33+$B$51)*(IF($T$8="true",$P$8,0)+$A$24)),ReadMe!$M$94)</f>
        <v>36141</v>
      </c>
      <c r="Q23" s="1070"/>
      <c r="R23" s="87" t="s">
        <v>58</v>
      </c>
      <c r="S23" s="162">
        <f>MIN(INT(P23*$F$41),ReadMe!$M$94)</f>
        <v>54211</v>
      </c>
      <c r="T23" s="1443"/>
      <c r="U23" s="1459"/>
      <c r="W23" s="401">
        <v>12</v>
      </c>
      <c r="X23" s="814" t="s">
        <v>1007</v>
      </c>
      <c r="Y23" s="392">
        <f>INT(U91)</f>
        <v>24049</v>
      </c>
      <c r="Z23" s="393">
        <v>0.45</v>
      </c>
      <c r="AA23" s="815">
        <v>0.45</v>
      </c>
      <c r="AB23" s="22"/>
      <c r="AC23" s="22"/>
      <c r="AD23" s="22"/>
      <c r="AE23" s="22"/>
      <c r="AF23" s="22"/>
    </row>
    <row r="24" spans="1:32" ht="13.5">
      <c r="A24" s="534">
        <f>IF(A23="true",IF(D22&gt;0,1+(5+D22)/100,1),1)</f>
        <v>1.15</v>
      </c>
      <c r="B24" s="662" t="s">
        <v>99</v>
      </c>
      <c r="C24" s="331"/>
      <c r="D24" s="219"/>
      <c r="E24" s="43" t="s">
        <v>1062</v>
      </c>
      <c r="F24" s="8"/>
      <c r="G24" s="8"/>
      <c r="H24" s="8"/>
      <c r="I24" s="8"/>
      <c r="J24" s="8"/>
      <c r="K24" s="9"/>
      <c r="N24" s="1334" t="s">
        <v>720</v>
      </c>
      <c r="O24" s="1335"/>
      <c r="P24" s="657" t="s">
        <v>56</v>
      </c>
      <c r="Q24" s="778">
        <f>P21*6</f>
        <v>151794</v>
      </c>
      <c r="U24" s="421">
        <f>(Q25/(IF($T$8="true",$P$8,0)+$A$24))*(IF($T$8="true",$P$8,0)+$A$25)</f>
        <v>200906.84347826088</v>
      </c>
      <c r="W24" s="408"/>
      <c r="X24" s="408"/>
      <c r="Y24" s="408"/>
      <c r="Z24" s="408"/>
      <c r="AA24" s="408"/>
      <c r="AB24" s="408"/>
      <c r="AC24" s="22"/>
      <c r="AD24" s="22"/>
      <c r="AE24" s="22"/>
      <c r="AF24" s="22"/>
    </row>
    <row r="25" spans="1:32" ht="14.25" thickBot="1">
      <c r="A25" s="421">
        <f>IF(A23="true",IF(D22&gt;0,MIN((((15+3*$D$22)/50)*(5+$D$22))/100+1,1.17),1),1)</f>
        <v>1.135</v>
      </c>
      <c r="B25" s="48" t="s">
        <v>100</v>
      </c>
      <c r="C25" s="520"/>
      <c r="D25" s="247">
        <v>10</v>
      </c>
      <c r="E25" s="43" t="s">
        <v>823</v>
      </c>
      <c r="F25" s="8">
        <v>20</v>
      </c>
      <c r="G25" s="8"/>
      <c r="H25" s="8"/>
      <c r="I25" s="8"/>
      <c r="J25" s="8"/>
      <c r="K25" s="9"/>
      <c r="N25" s="1334"/>
      <c r="O25" s="1335"/>
      <c r="P25" s="179" t="s">
        <v>140</v>
      </c>
      <c r="Q25" s="272">
        <f>U21*6</f>
        <v>203562</v>
      </c>
      <c r="AF25" s="22"/>
    </row>
    <row r="26" spans="2:32" ht="14.25" thickBot="1">
      <c r="B26" s="1081" t="s">
        <v>243</v>
      </c>
      <c r="C26" s="1082"/>
      <c r="D26" s="20">
        <v>9</v>
      </c>
      <c r="E26" s="235" t="s">
        <v>975</v>
      </c>
      <c r="F26" s="8">
        <v>36</v>
      </c>
      <c r="G26" s="41">
        <f>ROUNDDOWN(G3*D27%,0)</f>
        <v>37</v>
      </c>
      <c r="H26" s="41">
        <f>ROUNDDOWN(H3*D27%,0)</f>
        <v>1</v>
      </c>
      <c r="I26" s="41">
        <f>ROUNDDOWN(I3*D27%,0)</f>
        <v>0</v>
      </c>
      <c r="J26" s="41">
        <f>ROUNDDOWN(J3*D27%,0)</f>
        <v>0</v>
      </c>
      <c r="K26" s="9">
        <v>180</v>
      </c>
      <c r="N26" s="1276"/>
      <c r="O26" s="1336"/>
      <c r="P26" s="95" t="s">
        <v>133</v>
      </c>
      <c r="Q26" s="159">
        <f>S23*6</f>
        <v>325266</v>
      </c>
      <c r="W26" s="1397" t="s">
        <v>743</v>
      </c>
      <c r="X26" s="1566"/>
      <c r="Y26" s="1566"/>
      <c r="Z26" s="1566"/>
      <c r="AA26" s="1566"/>
      <c r="AB26" s="1566"/>
      <c r="AC26" s="1566"/>
      <c r="AD26" s="1567"/>
      <c r="AF26" s="22"/>
    </row>
    <row r="27" spans="2:30" ht="14.25" thickBot="1">
      <c r="B27" s="14" t="s">
        <v>62</v>
      </c>
      <c r="C27" s="571"/>
      <c r="D27" s="47">
        <f>ROUNDUP(D26/2,0)</f>
        <v>5</v>
      </c>
      <c r="E27" s="7" t="s">
        <v>63</v>
      </c>
      <c r="F27" s="44">
        <f>D28</f>
        <v>0</v>
      </c>
      <c r="G27" s="44">
        <f>SUM(G4:G25)</f>
        <v>56</v>
      </c>
      <c r="H27" s="44">
        <f>SUM(H4:H25)</f>
        <v>99</v>
      </c>
      <c r="I27" s="44">
        <f>SUM(I4:I25)</f>
        <v>27</v>
      </c>
      <c r="J27" s="44">
        <f>SUM(J4:J25)</f>
        <v>27</v>
      </c>
      <c r="K27" s="45">
        <f>SUM(K3:K26)+D28</f>
        <v>207</v>
      </c>
      <c r="W27" s="1568" t="s">
        <v>144</v>
      </c>
      <c r="X27" s="1569"/>
      <c r="Y27" s="312" t="s">
        <v>145</v>
      </c>
      <c r="Z27" s="313" t="s">
        <v>735</v>
      </c>
      <c r="AA27" s="313" t="s">
        <v>736</v>
      </c>
      <c r="AB27" s="313" t="s">
        <v>737</v>
      </c>
      <c r="AC27" s="313" t="s">
        <v>738</v>
      </c>
      <c r="AD27" s="318" t="s">
        <v>739</v>
      </c>
    </row>
    <row r="28" spans="2:32" ht="14.25" thickBot="1">
      <c r="B28" s="17" t="s">
        <v>1024</v>
      </c>
      <c r="C28" s="210"/>
      <c r="D28" s="332">
        <v>0</v>
      </c>
      <c r="E28" s="14" t="s">
        <v>55</v>
      </c>
      <c r="F28" s="49">
        <f>SUM(F4:F27)</f>
        <v>179</v>
      </c>
      <c r="G28" s="579">
        <f>INT((G3+G26+G27)*(1+G31))</f>
        <v>921</v>
      </c>
      <c r="H28" s="579">
        <f>INT((H3+H26+H27)*(1+H31))</f>
        <v>120</v>
      </c>
      <c r="I28" s="579">
        <f>INT((I3+I26+I27)*(1+I31))</f>
        <v>31</v>
      </c>
      <c r="J28" s="579">
        <f>INT((J3+J26+J27)*(1+J31))</f>
        <v>31</v>
      </c>
      <c r="K28" s="580">
        <f>($J$28+$H$28*1.2+K27)*(1+K31)</f>
        <v>382</v>
      </c>
      <c r="N28" s="977" t="s">
        <v>572</v>
      </c>
      <c r="O28" s="978"/>
      <c r="P28" s="978"/>
      <c r="Q28" s="978"/>
      <c r="R28" s="978"/>
      <c r="S28" s="978"/>
      <c r="T28" s="978"/>
      <c r="U28" s="979"/>
      <c r="W28" s="1574" t="s">
        <v>733</v>
      </c>
      <c r="X28" s="1575"/>
      <c r="Y28" s="406">
        <f>Q20*6*S20</f>
        <v>456.12</v>
      </c>
      <c r="Z28" s="319" t="s">
        <v>742</v>
      </c>
      <c r="AA28" s="319" t="s">
        <v>742</v>
      </c>
      <c r="AB28" s="319" t="s">
        <v>742</v>
      </c>
      <c r="AC28" s="319" t="s">
        <v>742</v>
      </c>
      <c r="AD28" s="320" t="s">
        <v>742</v>
      </c>
      <c r="AF28" s="22"/>
    </row>
    <row r="29" spans="2:32" ht="14.25" thickBot="1">
      <c r="B29" s="1068" t="s">
        <v>645</v>
      </c>
      <c r="C29" s="1036"/>
      <c r="D29" s="1036"/>
      <c r="E29" s="1036"/>
      <c r="F29" s="1036"/>
      <c r="G29" s="1036"/>
      <c r="H29" s="1036"/>
      <c r="I29" s="1036"/>
      <c r="J29" s="1036"/>
      <c r="K29" s="1037"/>
      <c r="N29" s="152" t="s">
        <v>223</v>
      </c>
      <c r="O29" s="227">
        <f>D6</f>
        <v>30</v>
      </c>
      <c r="P29" s="226" t="s">
        <v>51</v>
      </c>
      <c r="Q29" s="233">
        <f>(520+6*O29)/100</f>
        <v>7</v>
      </c>
      <c r="R29" s="271" t="s">
        <v>138</v>
      </c>
      <c r="S29" s="227">
        <f>IF(O29&gt;=21,6,IF(O29&gt;=11,5,4))</f>
        <v>6</v>
      </c>
      <c r="T29" s="305" t="s">
        <v>66</v>
      </c>
      <c r="U29" s="73">
        <v>72</v>
      </c>
      <c r="W29" s="1570" t="s">
        <v>576</v>
      </c>
      <c r="X29" s="1571"/>
      <c r="Y29" s="405">
        <f>Q11*8*S11</f>
        <v>852.8</v>
      </c>
      <c r="Z29" s="321" t="s">
        <v>742</v>
      </c>
      <c r="AA29" s="321" t="s">
        <v>742</v>
      </c>
      <c r="AB29" s="321" t="s">
        <v>742</v>
      </c>
      <c r="AC29" s="321" t="s">
        <v>742</v>
      </c>
      <c r="AD29" s="322" t="s">
        <v>742</v>
      </c>
      <c r="AF29" s="22"/>
    </row>
    <row r="30" spans="2:32" ht="13.5">
      <c r="B30" s="1085" t="s">
        <v>443</v>
      </c>
      <c r="C30" s="1086"/>
      <c r="D30" s="1087"/>
      <c r="E30" s="1038" t="s">
        <v>646</v>
      </c>
      <c r="F30" s="1039"/>
      <c r="G30" s="1" t="s">
        <v>650</v>
      </c>
      <c r="H30" s="3" t="s">
        <v>649</v>
      </c>
      <c r="I30" s="3" t="s">
        <v>648</v>
      </c>
      <c r="J30" s="3" t="s">
        <v>647</v>
      </c>
      <c r="K30" s="4" t="s">
        <v>651</v>
      </c>
      <c r="N30" s="988" t="s">
        <v>107</v>
      </c>
      <c r="O30" s="77" t="s">
        <v>56</v>
      </c>
      <c r="P30" s="554">
        <f>MIN(INT(($R$4*Q29)*(1+$B$33+$E$33+$B$51)*(IF($T$8="true",$P$8,0)+$A$24)),ReadMe!$M$94)</f>
        <v>48921</v>
      </c>
      <c r="Q30" s="975" t="s">
        <v>406</v>
      </c>
      <c r="R30" s="194" t="s">
        <v>56</v>
      </c>
      <c r="S30" s="160">
        <f>MIN(INT(P30*$E$41),ReadMe!$M$94)</f>
        <v>63597</v>
      </c>
      <c r="T30" s="1432" t="s">
        <v>127</v>
      </c>
      <c r="U30" s="1408">
        <f>INT(P31*(1-$G$41)+S31*$G$41)</f>
        <v>65606</v>
      </c>
      <c r="W30" s="1570" t="s">
        <v>554</v>
      </c>
      <c r="X30" s="1571"/>
      <c r="Y30" s="405">
        <f>Q29*U29</f>
        <v>504</v>
      </c>
      <c r="Z30" s="405">
        <f>$Y$30+Y30</f>
        <v>1008</v>
      </c>
      <c r="AA30" s="405">
        <f>$Y$30+Z30</f>
        <v>1512</v>
      </c>
      <c r="AB30" s="405">
        <f>$Y$30+AA30</f>
        <v>2016</v>
      </c>
      <c r="AC30" s="405">
        <f>$Y$30+AB30</f>
        <v>2520</v>
      </c>
      <c r="AD30" s="407">
        <f>$Y$30+AC30</f>
        <v>3024</v>
      </c>
      <c r="AF30" s="22"/>
    </row>
    <row r="31" spans="2:30" ht="14.25" thickBot="1">
      <c r="B31" s="1091">
        <v>0</v>
      </c>
      <c r="C31" s="1132"/>
      <c r="D31" s="1093"/>
      <c r="E31" s="1040">
        <v>0</v>
      </c>
      <c r="F31" s="1032"/>
      <c r="G31" s="575">
        <v>0.09</v>
      </c>
      <c r="H31" s="576">
        <v>0</v>
      </c>
      <c r="I31" s="576">
        <v>0</v>
      </c>
      <c r="J31" s="576">
        <v>0</v>
      </c>
      <c r="K31" s="577">
        <v>0</v>
      </c>
      <c r="N31" s="1051"/>
      <c r="O31" s="44" t="s">
        <v>57</v>
      </c>
      <c r="P31" s="555">
        <f>INT((P30+P32)/2)</f>
        <v>59404</v>
      </c>
      <c r="Q31" s="1069"/>
      <c r="R31" s="80" t="s">
        <v>57</v>
      </c>
      <c r="S31" s="161">
        <f>INT((S30+S32)/2)</f>
        <v>84213</v>
      </c>
      <c r="T31" s="1433"/>
      <c r="U31" s="1409"/>
      <c r="W31" s="1570" t="s">
        <v>734</v>
      </c>
      <c r="X31" s="1571"/>
      <c r="Y31" s="405">
        <f>Q36*S36</f>
        <v>514.8</v>
      </c>
      <c r="Z31" s="321">
        <f>$Y$31+Y31*0.7</f>
        <v>875.1599999999999</v>
      </c>
      <c r="AA31" s="321">
        <f>$Y$31+Z31*0.7</f>
        <v>1127.4119999999998</v>
      </c>
      <c r="AB31" s="321">
        <f>$Y$31+AA31*0.7</f>
        <v>1303.9883999999997</v>
      </c>
      <c r="AC31" s="321">
        <f>$Y$31+AB31*0.7</f>
        <v>1427.5918799999997</v>
      </c>
      <c r="AD31" s="322">
        <f>$Y$31+AC31*0.7</f>
        <v>1514.1143159999997</v>
      </c>
    </row>
    <row r="32" spans="2:30" ht="14.25" thickBot="1">
      <c r="B32" s="1088" t="s">
        <v>644</v>
      </c>
      <c r="C32" s="1089"/>
      <c r="D32" s="1090"/>
      <c r="E32" s="984" t="s">
        <v>551</v>
      </c>
      <c r="F32" s="976"/>
      <c r="N32" s="989"/>
      <c r="O32" s="15" t="s">
        <v>58</v>
      </c>
      <c r="P32" s="556">
        <f>MIN(INT(($T$4*Q29)*(1+$B$33+$E$33+$B$51)*(IF($T$8="true",$P$8,0)+$A$24)),ReadMe!$M$94)</f>
        <v>69887</v>
      </c>
      <c r="Q32" s="1070"/>
      <c r="R32" s="87" t="s">
        <v>58</v>
      </c>
      <c r="S32" s="162">
        <f>MIN(INT(P32*$F$41),ReadMe!$M$94)</f>
        <v>104830</v>
      </c>
      <c r="T32" s="1443"/>
      <c r="U32" s="1459"/>
      <c r="W32" s="1576" t="s">
        <v>740</v>
      </c>
      <c r="X32" s="1577"/>
      <c r="Y32" s="405">
        <f aca="true" t="shared" si="0" ref="Y32:AD32">($Q$20*6+Y31/$S$36)*21</f>
        <v>619.92</v>
      </c>
      <c r="Z32" s="405">
        <f t="shared" si="0"/>
        <v>734.5799999999999</v>
      </c>
      <c r="AA32" s="405">
        <f t="shared" si="0"/>
        <v>814.8419999999999</v>
      </c>
      <c r="AB32" s="405">
        <f t="shared" si="0"/>
        <v>871.0253999999999</v>
      </c>
      <c r="AC32" s="405">
        <f t="shared" si="0"/>
        <v>910.3537799999999</v>
      </c>
      <c r="AD32" s="407">
        <f t="shared" si="0"/>
        <v>937.8836459999999</v>
      </c>
    </row>
    <row r="33" spans="2:30" ht="14.25" thickBot="1">
      <c r="B33" s="1091">
        <v>0</v>
      </c>
      <c r="C33" s="1092"/>
      <c r="D33" s="1093"/>
      <c r="E33" s="1040">
        <v>0</v>
      </c>
      <c r="F33" s="1032"/>
      <c r="N33" s="1205" t="s">
        <v>67</v>
      </c>
      <c r="O33" s="1254"/>
      <c r="P33" s="1254"/>
      <c r="Q33" s="1254"/>
      <c r="R33" s="1311">
        <f>U34*U29*G46</f>
        <v>4662019.408695653</v>
      </c>
      <c r="S33" s="1311"/>
      <c r="T33" s="1311"/>
      <c r="U33" s="1358"/>
      <c r="W33" s="1572" t="s">
        <v>741</v>
      </c>
      <c r="X33" s="1573"/>
      <c r="Y33" s="314">
        <f aca="true" t="shared" si="1" ref="Y33:AD33">($Q$20*6+Y30/$U$29)*21</f>
        <v>603.12</v>
      </c>
      <c r="Z33" s="314">
        <f t="shared" si="1"/>
        <v>750.12</v>
      </c>
      <c r="AA33" s="314">
        <f t="shared" si="1"/>
        <v>897.12</v>
      </c>
      <c r="AB33" s="314">
        <f t="shared" si="1"/>
        <v>1044.12</v>
      </c>
      <c r="AC33" s="314">
        <f t="shared" si="1"/>
        <v>1191.12</v>
      </c>
      <c r="AD33" s="315">
        <f t="shared" si="1"/>
        <v>1338.12</v>
      </c>
    </row>
    <row r="34" ht="14.25" thickBot="1">
      <c r="U34" s="421">
        <f>(U30/(IF($T$8="true",$P$8,0)+$A$24))*(IF($T$8="true",$P$8,0)+$A$25)</f>
        <v>64750.2695652174</v>
      </c>
    </row>
    <row r="35" spans="2:21" ht="14.25" thickBot="1">
      <c r="B35" s="1047" t="s">
        <v>1120</v>
      </c>
      <c r="C35" s="1048"/>
      <c r="D35" s="1048"/>
      <c r="E35" s="535" t="s">
        <v>56</v>
      </c>
      <c r="F35" s="19" t="s">
        <v>58</v>
      </c>
      <c r="G35" s="536" t="s">
        <v>750</v>
      </c>
      <c r="I35" s="1041" t="s">
        <v>218</v>
      </c>
      <c r="J35" s="1042"/>
      <c r="K35" s="1043"/>
      <c r="N35" s="977" t="s">
        <v>678</v>
      </c>
      <c r="O35" s="978"/>
      <c r="P35" s="978"/>
      <c r="Q35" s="978"/>
      <c r="R35" s="978"/>
      <c r="S35" s="979"/>
      <c r="T35" s="257"/>
      <c r="U35" s="258"/>
    </row>
    <row r="36" spans="2:21" ht="14.25" thickBot="1">
      <c r="B36" s="1133" t="s">
        <v>1122</v>
      </c>
      <c r="C36" s="1134"/>
      <c r="D36" s="1135"/>
      <c r="E36" s="36">
        <v>1.3</v>
      </c>
      <c r="F36" s="539">
        <v>1.5</v>
      </c>
      <c r="G36" s="260">
        <f>0.25+IF(T7="true",P7,0)</f>
        <v>0.25</v>
      </c>
      <c r="I36" s="1041" t="s">
        <v>220</v>
      </c>
      <c r="J36" s="1053"/>
      <c r="K36" s="1054"/>
      <c r="N36" s="263" t="s">
        <v>223</v>
      </c>
      <c r="O36" s="221">
        <f>D7</f>
        <v>30</v>
      </c>
      <c r="P36" s="240" t="s">
        <v>51</v>
      </c>
      <c r="Q36" s="264">
        <f>(600+6*O36)/100</f>
        <v>7.8</v>
      </c>
      <c r="R36" s="17" t="s">
        <v>66</v>
      </c>
      <c r="S36" s="84">
        <v>66</v>
      </c>
      <c r="T36" s="120"/>
      <c r="U36" s="258"/>
    </row>
    <row r="37" spans="2:21" ht="14.25" thickBot="1">
      <c r="B37" s="1051" t="s">
        <v>1117</v>
      </c>
      <c r="C37" s="1052"/>
      <c r="D37" s="548">
        <v>0</v>
      </c>
      <c r="E37" s="538"/>
      <c r="F37" s="537">
        <f>D37/100</f>
        <v>0</v>
      </c>
      <c r="G37" s="543">
        <f>IF(D37=0,0,(5+ROUNDUP(D37/2,0))/100)</f>
        <v>0</v>
      </c>
      <c r="I37" s="871" t="s">
        <v>217</v>
      </c>
      <c r="J37" s="224"/>
      <c r="K37" s="247">
        <v>2</v>
      </c>
      <c r="N37" s="988" t="s">
        <v>107</v>
      </c>
      <c r="O37" s="77" t="s">
        <v>56</v>
      </c>
      <c r="P37" s="554">
        <f>MIN(INT(($R$4*Q36)*(1+$B$33+$E$33+$B$51)*(IF($T$8="true",$P$8,0)+$A$24)),ReadMe!$M$94)</f>
        <v>54512</v>
      </c>
      <c r="Q37" s="975" t="s">
        <v>406</v>
      </c>
      <c r="R37" s="194" t="s">
        <v>56</v>
      </c>
      <c r="S37" s="160">
        <f>MIN(INT(P37*$E$41),ReadMe!$M$94)</f>
        <v>70865</v>
      </c>
      <c r="T37" s="1432" t="s">
        <v>127</v>
      </c>
      <c r="U37" s="1408">
        <f>INT(P38*(1-$G$41)+S38*$G$41)</f>
        <v>73104</v>
      </c>
    </row>
    <row r="38" spans="2:21" ht="14.25" thickBot="1">
      <c r="B38" s="1051" t="s">
        <v>1118</v>
      </c>
      <c r="C38" s="1052"/>
      <c r="D38" s="548">
        <v>0</v>
      </c>
      <c r="E38" s="538">
        <f>D38/100</f>
        <v>0</v>
      </c>
      <c r="F38" s="537"/>
      <c r="G38" s="543">
        <f>IF(D38=0,0,(5+ROUNDUP(D38/2,0))/100)</f>
        <v>0</v>
      </c>
      <c r="N38" s="1051"/>
      <c r="O38" s="44" t="s">
        <v>57</v>
      </c>
      <c r="P38" s="555">
        <f>INT((P37+P39)/2)</f>
        <v>66193</v>
      </c>
      <c r="Q38" s="1069"/>
      <c r="R38" s="80" t="s">
        <v>57</v>
      </c>
      <c r="S38" s="161">
        <f>INT((S37+S39)/2)</f>
        <v>93838</v>
      </c>
      <c r="T38" s="1433"/>
      <c r="U38" s="1409"/>
    </row>
    <row r="39" spans="1:21" ht="14.25" thickBot="1">
      <c r="A39" s="421" t="b">
        <v>0</v>
      </c>
      <c r="B39" s="1051" t="s">
        <v>1119</v>
      </c>
      <c r="C39" s="1052"/>
      <c r="D39" s="544"/>
      <c r="E39" s="538"/>
      <c r="F39" s="537">
        <f>IF(H39="true",0.15,0)</f>
        <v>0</v>
      </c>
      <c r="G39" s="543">
        <f>IF(H39="true",0.1,0)</f>
        <v>0</v>
      </c>
      <c r="H39" s="421" t="str">
        <f>IF(A39=TRUE,"TRUE",IF(D39=1,"TRUE","FLASE"))</f>
        <v>FLASE</v>
      </c>
      <c r="I39" s="1058" t="s">
        <v>1163</v>
      </c>
      <c r="J39" s="1059"/>
      <c r="K39" s="896"/>
      <c r="L39" s="421" t="b">
        <v>0</v>
      </c>
      <c r="M39" s="514" t="str">
        <f>IF(L39=TRUE,"TRUE",IF(K39=1,"TRUE","FLASE"))</f>
        <v>FLASE</v>
      </c>
      <c r="N39" s="989"/>
      <c r="O39" s="15" t="s">
        <v>58</v>
      </c>
      <c r="P39" s="556">
        <f>MIN(INT(($T$4*Q36)*(1+$B$33+$E$33+$B$51)*(IF($T$8="true",$P$8,0)+$A$24)),ReadMe!$M$94)</f>
        <v>77874</v>
      </c>
      <c r="Q39" s="1070"/>
      <c r="R39" s="87" t="s">
        <v>58</v>
      </c>
      <c r="S39" s="162">
        <f>MIN(INT(P39*$F$41),ReadMe!$M$94)</f>
        <v>116811</v>
      </c>
      <c r="T39" s="1443"/>
      <c r="U39" s="1459"/>
    </row>
    <row r="40" spans="2:21" ht="14.25" thickBot="1">
      <c r="B40" s="1055" t="s">
        <v>1121</v>
      </c>
      <c r="C40" s="1056"/>
      <c r="D40" s="1057"/>
      <c r="E40" s="545">
        <v>0</v>
      </c>
      <c r="F40" s="546">
        <v>0</v>
      </c>
      <c r="G40" s="547">
        <v>0</v>
      </c>
      <c r="I40" s="637" t="s">
        <v>787</v>
      </c>
      <c r="J40" s="893"/>
      <c r="K40" s="894">
        <v>0</v>
      </c>
      <c r="U40" s="421">
        <f>(U37/(IF($T$8="true",$P$8,0)+$A$24))*(IF($T$8="true",$P$8,0)+$A$25)</f>
        <v>72150.4695652174</v>
      </c>
    </row>
    <row r="41" spans="2:21" ht="14.25" thickBot="1">
      <c r="B41" s="1044" t="s">
        <v>1123</v>
      </c>
      <c r="C41" s="1045"/>
      <c r="D41" s="1046"/>
      <c r="E41" s="540">
        <f>E36+MAX(E38,E39)+E40</f>
        <v>1.3</v>
      </c>
      <c r="F41" s="541">
        <f>F36+MAX(F37,F39)+F40</f>
        <v>1.5</v>
      </c>
      <c r="G41" s="542">
        <f>G36+MAX(G37,G38,G39)+G40</f>
        <v>0.25</v>
      </c>
      <c r="I41" s="1060" t="s">
        <v>530</v>
      </c>
      <c r="J41" s="1061"/>
      <c r="K41" s="895">
        <f>IF(M39="true",IF(K40&gt;0,10+ROUNDUP(K40/3,0),11)/100,0)</f>
        <v>0</v>
      </c>
      <c r="L41" s="342"/>
      <c r="M41" s="342"/>
      <c r="N41" s="977" t="s">
        <v>553</v>
      </c>
      <c r="O41" s="978"/>
      <c r="P41" s="978"/>
      <c r="Q41" s="978"/>
      <c r="R41" s="978"/>
      <c r="S41" s="979"/>
      <c r="T41" s="99"/>
      <c r="U41" s="99"/>
    </row>
    <row r="42" spans="2:21" ht="14.25" thickBot="1">
      <c r="B42" s="1136" t="s">
        <v>135</v>
      </c>
      <c r="C42" s="1137"/>
      <c r="D42" s="1138"/>
      <c r="E42" s="1011">
        <f>(($E$41+$F$41)/2-1)*$G$41+1</f>
        <v>1.1</v>
      </c>
      <c r="F42" s="1012"/>
      <c r="G42" s="1005"/>
      <c r="N42" s="152" t="s">
        <v>223</v>
      </c>
      <c r="O42" s="227">
        <f>D9</f>
        <v>30</v>
      </c>
      <c r="P42" s="226" t="s">
        <v>51</v>
      </c>
      <c r="Q42" s="233">
        <f>(420+5*O42)/100</f>
        <v>5.7</v>
      </c>
      <c r="R42" s="271" t="s">
        <v>138</v>
      </c>
      <c r="S42" s="227">
        <f>3+INT(O42/10)</f>
        <v>6</v>
      </c>
      <c r="T42" s="58"/>
      <c r="U42" s="58"/>
    </row>
    <row r="43" spans="9:21" ht="14.25" thickBot="1">
      <c r="I43" s="1075" t="s">
        <v>1188</v>
      </c>
      <c r="J43" s="1076"/>
      <c r="K43" s="1077"/>
      <c r="N43" s="988" t="s">
        <v>107</v>
      </c>
      <c r="O43" s="77" t="s">
        <v>56</v>
      </c>
      <c r="P43" s="554">
        <f>MIN(INT(($R$4*Q42)*(1+$B$33+$E$33+$B$51)*(IF($T$8="true",$P$8,0)+$A$24)),ReadMe!$M$94)</f>
        <v>39835</v>
      </c>
      <c r="Q43" s="975" t="s">
        <v>406</v>
      </c>
      <c r="R43" s="194" t="s">
        <v>56</v>
      </c>
      <c r="S43" s="160">
        <f>MIN(INT(P43*$E$41),ReadMe!$M$94)</f>
        <v>51785</v>
      </c>
      <c r="T43" s="1432" t="s">
        <v>127</v>
      </c>
      <c r="U43" s="1408">
        <f>INT(P44*(1-$G$41)+S44*$G$41)</f>
        <v>53421</v>
      </c>
    </row>
    <row r="44" spans="2:21" ht="13.5">
      <c r="B44" s="1049" t="s">
        <v>416</v>
      </c>
      <c r="C44" s="1050"/>
      <c r="D44" s="566">
        <v>125</v>
      </c>
      <c r="E44" s="1147" t="s">
        <v>417</v>
      </c>
      <c r="F44" s="1148"/>
      <c r="G44" s="26">
        <f>IF(D2&gt;D44,0,$D$44-$D$2)</f>
        <v>0</v>
      </c>
      <c r="I44" s="439" t="s">
        <v>1189</v>
      </c>
      <c r="J44" s="572"/>
      <c r="K44" s="223">
        <v>0</v>
      </c>
      <c r="L44" s="342"/>
      <c r="M44" s="342"/>
      <c r="N44" s="1051"/>
      <c r="O44" s="44" t="s">
        <v>57</v>
      </c>
      <c r="P44" s="555">
        <f>INT((P43+P45)/2)</f>
        <v>48371</v>
      </c>
      <c r="Q44" s="1069"/>
      <c r="R44" s="80" t="s">
        <v>57</v>
      </c>
      <c r="S44" s="161">
        <f>INT((S43+S45)/2)</f>
        <v>68573</v>
      </c>
      <c r="T44" s="1433"/>
      <c r="U44" s="1409"/>
    </row>
    <row r="45" spans="2:21" ht="14.25" thickBot="1">
      <c r="B45" s="1006" t="s">
        <v>450</v>
      </c>
      <c r="C45" s="1007"/>
      <c r="D45" s="9">
        <v>12</v>
      </c>
      <c r="E45" s="1006" t="s">
        <v>452</v>
      </c>
      <c r="F45" s="1007"/>
      <c r="G45" s="665">
        <f>IF(G44&gt;0,"-",D45)</f>
        <v>12</v>
      </c>
      <c r="I45" s="440" t="s">
        <v>1190</v>
      </c>
      <c r="J45" s="573"/>
      <c r="K45" s="441">
        <f>IF(K44&gt;0,(K44+10)/100,0)</f>
        <v>0</v>
      </c>
      <c r="N45" s="989"/>
      <c r="O45" s="15" t="s">
        <v>58</v>
      </c>
      <c r="P45" s="556">
        <f>MIN(INT(($T$4*Q42)*(1+$B$33+$E$33+$B$51)*(IF($T$8="true",$P$8,0)+$A$24)),ReadMe!$M$94)</f>
        <v>56908</v>
      </c>
      <c r="Q45" s="1070"/>
      <c r="R45" s="87" t="s">
        <v>58</v>
      </c>
      <c r="S45" s="162">
        <f>MIN(INT(P45*$F$41),ReadMe!$M$94)</f>
        <v>85362</v>
      </c>
      <c r="T45" s="1443"/>
      <c r="U45" s="1459"/>
    </row>
    <row r="46" spans="2:21" ht="14.25" thickBot="1">
      <c r="B46" s="997" t="s">
        <v>415</v>
      </c>
      <c r="C46" s="998"/>
      <c r="D46" s="9">
        <v>0</v>
      </c>
      <c r="E46" s="1006" t="s">
        <v>451</v>
      </c>
      <c r="F46" s="1007"/>
      <c r="G46" s="543">
        <f>MAX((MIN(100+SQRT($K$28)-SQRT($D$45),100)-5*G44)/100,0)</f>
        <v>1</v>
      </c>
      <c r="U46" s="421">
        <f>(U43/(IF($T$8="true",$P$8,0)+$A$24))*(IF($T$8="true",$P$8,0)+$A$25)</f>
        <v>52724.20434782609</v>
      </c>
    </row>
    <row r="47" spans="2:21" ht="14.25" thickBot="1">
      <c r="B47" s="1008" t="s">
        <v>642</v>
      </c>
      <c r="C47" s="1009"/>
      <c r="D47" s="567">
        <v>0.25</v>
      </c>
      <c r="E47" s="1145" t="s">
        <v>643</v>
      </c>
      <c r="F47" s="1146"/>
      <c r="G47" s="29">
        <f>1-(D47*(1-K45))</f>
        <v>0.75</v>
      </c>
      <c r="I47" s="1003" t="s">
        <v>1110</v>
      </c>
      <c r="J47" s="1004"/>
      <c r="K47" s="996"/>
      <c r="L47" s="342"/>
      <c r="M47" s="168"/>
      <c r="N47" s="977" t="s">
        <v>573</v>
      </c>
      <c r="O47" s="978"/>
      <c r="P47" s="978"/>
      <c r="Q47" s="979"/>
      <c r="R47" s="308"/>
      <c r="S47" s="308"/>
      <c r="T47" s="308"/>
      <c r="U47" s="308"/>
    </row>
    <row r="48" spans="4:21" ht="14.25" thickBot="1">
      <c r="D48" s="421">
        <f>$D$46*(1-($K$45+$B$31))</f>
        <v>0</v>
      </c>
      <c r="G48" s="534">
        <f>1-(D47*(1-(U11+K45)))</f>
        <v>0.8</v>
      </c>
      <c r="I48" s="1083" t="s">
        <v>652</v>
      </c>
      <c r="J48" s="1084"/>
      <c r="K48" s="493"/>
      <c r="L48" s="514" t="b">
        <v>0</v>
      </c>
      <c r="M48" s="514" t="str">
        <f>IF(L48=TRUE,"TRUE",IF(K48=1,"TRUE","FLASE"))</f>
        <v>FLASE</v>
      </c>
      <c r="N48" s="152" t="s">
        <v>223</v>
      </c>
      <c r="O48" s="227">
        <f>D10</f>
        <v>20</v>
      </c>
      <c r="P48" s="304" t="s">
        <v>51</v>
      </c>
      <c r="Q48" s="306">
        <f>(400+5*O48)/100</f>
        <v>5</v>
      </c>
      <c r="R48" s="309"/>
      <c r="S48" s="309"/>
      <c r="T48" s="253"/>
      <c r="U48" s="307"/>
    </row>
    <row r="49" spans="2:21" ht="13.5">
      <c r="B49" s="1078" t="s">
        <v>749</v>
      </c>
      <c r="C49" s="1079"/>
      <c r="D49" s="1080"/>
      <c r="I49" s="994" t="s">
        <v>653</v>
      </c>
      <c r="J49" s="995"/>
      <c r="K49" s="494"/>
      <c r="L49" s="514" t="b">
        <v>0</v>
      </c>
      <c r="M49" s="514" t="str">
        <f>IF(L49=TRUE,"TRUE",IF(K49=1,"TRUE","FLASE"))</f>
        <v>FLASE</v>
      </c>
      <c r="N49" s="988" t="s">
        <v>107</v>
      </c>
      <c r="O49" s="77" t="s">
        <v>56</v>
      </c>
      <c r="P49" s="554">
        <f>MIN(INT(($R$4*Q48)*(1+$B$33+$E$33+$B$51)*(IF($T$8="true",$P$8,0)+$A$24)),ReadMe!$M$94)</f>
        <v>34943</v>
      </c>
      <c r="Q49" s="975" t="s">
        <v>406</v>
      </c>
      <c r="R49" s="194" t="s">
        <v>56</v>
      </c>
      <c r="S49" s="160">
        <f>MIN(INT(P49*$E$41),ReadMe!$M$94)</f>
        <v>45425</v>
      </c>
      <c r="T49" s="1432" t="s">
        <v>127</v>
      </c>
      <c r="U49" s="1408">
        <f>INT(P50*(1-$G$41)+S50*$G$41)</f>
        <v>46861</v>
      </c>
    </row>
    <row r="50" spans="2:21" ht="14.25" thickBot="1">
      <c r="B50" s="999" t="s">
        <v>551</v>
      </c>
      <c r="C50" s="1000"/>
      <c r="D50" s="1001"/>
      <c r="I50" s="1002" t="s">
        <v>530</v>
      </c>
      <c r="J50" s="993"/>
      <c r="K50" s="225">
        <f>IF(M48="TRUE",1.04,IF(M49="TRUE",1.02,1))</f>
        <v>1</v>
      </c>
      <c r="L50" s="352"/>
      <c r="M50" s="352"/>
      <c r="N50" s="1051"/>
      <c r="O50" s="44" t="s">
        <v>57</v>
      </c>
      <c r="P50" s="555">
        <f>INT((P49+P51)/2)</f>
        <v>42431</v>
      </c>
      <c r="Q50" s="1069"/>
      <c r="R50" s="80" t="s">
        <v>57</v>
      </c>
      <c r="S50" s="161">
        <f>INT((S49+S51)/2)</f>
        <v>60151</v>
      </c>
      <c r="T50" s="1433"/>
      <c r="U50" s="1409"/>
    </row>
    <row r="51" spans="2:21" ht="14.25" thickBot="1">
      <c r="B51" s="1142">
        <v>0</v>
      </c>
      <c r="C51" s="1143"/>
      <c r="D51" s="1144"/>
      <c r="N51" s="989"/>
      <c r="O51" s="15" t="s">
        <v>58</v>
      </c>
      <c r="P51" s="556">
        <f>MIN(INT(($T$4*Q48)*(1+$B$33+$E$33+$B$51)*(IF($T$8="true",$P$8,0)+$A$24)),ReadMe!$M$94)</f>
        <v>49919</v>
      </c>
      <c r="Q51" s="1070"/>
      <c r="R51" s="87" t="s">
        <v>58</v>
      </c>
      <c r="S51" s="162">
        <f>MIN(INT(P51*$F$41),ReadMe!$M$94)</f>
        <v>74878</v>
      </c>
      <c r="T51" s="1443"/>
      <c r="U51" s="1459"/>
    </row>
    <row r="52" ht="14.25" customHeight="1" thickBot="1">
      <c r="U52" s="421">
        <f>(U49/(IF($T$8="true",$P$8,0)+$A$24))*(IF($T$8="true",$P$8,0)+$A$25)</f>
        <v>46249.7695652174</v>
      </c>
    </row>
    <row r="53" spans="2:21" ht="14.25" thickBot="1">
      <c r="B53" s="1023" t="s">
        <v>64</v>
      </c>
      <c r="C53" s="1024"/>
      <c r="D53" s="1024"/>
      <c r="E53" s="1024"/>
      <c r="F53" s="1024"/>
      <c r="G53" s="1024"/>
      <c r="H53" s="1024"/>
      <c r="I53" s="1024"/>
      <c r="J53" s="1024"/>
      <c r="K53" s="1024"/>
      <c r="L53" s="1025"/>
      <c r="N53" s="977" t="s">
        <v>574</v>
      </c>
      <c r="O53" s="978"/>
      <c r="P53" s="978"/>
      <c r="Q53" s="978"/>
      <c r="R53" s="978"/>
      <c r="S53" s="979"/>
      <c r="T53" s="120"/>
      <c r="U53" s="258"/>
    </row>
    <row r="54" spans="2:21" ht="14.25" thickBot="1">
      <c r="B54" s="1018" t="s">
        <v>1077</v>
      </c>
      <c r="C54" s="1019"/>
      <c r="D54" s="1020"/>
      <c r="E54" s="1020"/>
      <c r="F54" s="1020"/>
      <c r="G54" s="1020"/>
      <c r="H54" s="1020"/>
      <c r="I54" s="1020"/>
      <c r="J54" s="1020"/>
      <c r="K54" s="1020"/>
      <c r="L54" s="1016"/>
      <c r="N54" s="263" t="s">
        <v>223</v>
      </c>
      <c r="O54" s="221">
        <f>D11</f>
        <v>20</v>
      </c>
      <c r="P54" s="240" t="s">
        <v>51</v>
      </c>
      <c r="Q54" s="264">
        <f>(300+5*O54)/100</f>
        <v>4</v>
      </c>
      <c r="R54" s="261" t="s">
        <v>575</v>
      </c>
      <c r="S54" s="262">
        <f>(10+ROUNDUP(O54/2,1))/100</f>
        <v>0.2</v>
      </c>
      <c r="T54" s="120"/>
      <c r="U54" s="258"/>
    </row>
    <row r="55" spans="2:21" ht="13.5">
      <c r="B55" s="1017" t="s">
        <v>365</v>
      </c>
      <c r="C55" s="1015"/>
      <c r="D55" s="1013"/>
      <c r="E55" s="1013"/>
      <c r="F55" s="1013"/>
      <c r="G55" s="1013"/>
      <c r="H55" s="1013"/>
      <c r="I55" s="1013"/>
      <c r="J55" s="1013"/>
      <c r="K55" s="1013"/>
      <c r="L55" s="1010"/>
      <c r="N55" s="988" t="s">
        <v>107</v>
      </c>
      <c r="O55" s="77" t="s">
        <v>56</v>
      </c>
      <c r="P55" s="554">
        <f>MIN(INT(($R$4*Q54)*(1+$B$33+$E$33+$B$51)*(IF($T$8="true",$P$8,0)+$A$24)),ReadMe!$M$94)</f>
        <v>27955</v>
      </c>
      <c r="Q55" s="975" t="s">
        <v>406</v>
      </c>
      <c r="R55" s="194" t="s">
        <v>56</v>
      </c>
      <c r="S55" s="160">
        <f>MIN(INT(P55*$E$41),ReadMe!$M$94)</f>
        <v>36341</v>
      </c>
      <c r="T55" s="1432" t="s">
        <v>127</v>
      </c>
      <c r="U55" s="1408">
        <f>INT(P56*(1-$G$41)+S56*$G$41)</f>
        <v>37489</v>
      </c>
    </row>
    <row r="56" spans="2:21" ht="13.5">
      <c r="B56" s="1017" t="s">
        <v>670</v>
      </c>
      <c r="C56" s="1015"/>
      <c r="D56" s="1013"/>
      <c r="E56" s="1013"/>
      <c r="F56" s="1013"/>
      <c r="G56" s="1013"/>
      <c r="H56" s="1013"/>
      <c r="I56" s="1013"/>
      <c r="J56" s="1013"/>
      <c r="K56" s="1013"/>
      <c r="L56" s="1010"/>
      <c r="N56" s="1051"/>
      <c r="O56" s="44" t="s">
        <v>57</v>
      </c>
      <c r="P56" s="555">
        <f>INT((P55+P57)/2)</f>
        <v>33945</v>
      </c>
      <c r="Q56" s="1069"/>
      <c r="R56" s="80" t="s">
        <v>57</v>
      </c>
      <c r="S56" s="161">
        <f>INT((S55+S57)/2)</f>
        <v>48121</v>
      </c>
      <c r="T56" s="1433"/>
      <c r="U56" s="1409"/>
    </row>
    <row r="57" spans="2:21" ht="14.25" thickBot="1">
      <c r="B57" s="1017" t="s">
        <v>815</v>
      </c>
      <c r="C57" s="1015"/>
      <c r="D57" s="1013"/>
      <c r="E57" s="1013"/>
      <c r="F57" s="1013"/>
      <c r="G57" s="1013"/>
      <c r="H57" s="1013"/>
      <c r="I57" s="1013"/>
      <c r="J57" s="1013"/>
      <c r="K57" s="1013"/>
      <c r="L57" s="1010"/>
      <c r="N57" s="989"/>
      <c r="O57" s="15" t="s">
        <v>58</v>
      </c>
      <c r="P57" s="556">
        <f>MIN(INT(($T$4*Q54)*(1+$B$33+$E$33+$B$51)*(IF($T$8="true",$P$8,0)+$A$24)),ReadMe!$M$94)</f>
        <v>39935</v>
      </c>
      <c r="Q57" s="1070"/>
      <c r="R57" s="87" t="s">
        <v>58</v>
      </c>
      <c r="S57" s="162">
        <f>MIN(INT(P57*$F$41),ReadMe!$M$94)</f>
        <v>59902</v>
      </c>
      <c r="T57" s="1443"/>
      <c r="U57" s="1459"/>
    </row>
    <row r="58" spans="2:21" ht="14.25" thickBot="1">
      <c r="B58" s="1017" t="s">
        <v>816</v>
      </c>
      <c r="C58" s="1015"/>
      <c r="D58" s="1013"/>
      <c r="E58" s="1013"/>
      <c r="F58" s="1013"/>
      <c r="G58" s="1013"/>
      <c r="H58" s="1013"/>
      <c r="I58" s="1013"/>
      <c r="J58" s="1013"/>
      <c r="K58" s="1013"/>
      <c r="L58" s="1010"/>
      <c r="U58" s="421">
        <f>(U55/(IF($T$8="true",$P$8,0)+$A$24))*(IF($T$8="true",$P$8,0)+$A$25)</f>
        <v>37000.01304347826</v>
      </c>
    </row>
    <row r="59" spans="2:21" ht="14.25" customHeight="1" thickBot="1">
      <c r="B59" s="1029" t="s">
        <v>976</v>
      </c>
      <c r="C59" s="1030"/>
      <c r="D59" s="1031"/>
      <c r="E59" s="1031"/>
      <c r="F59" s="1031"/>
      <c r="G59" s="1031"/>
      <c r="H59" s="1031"/>
      <c r="I59" s="1031"/>
      <c r="J59" s="1031"/>
      <c r="K59" s="1031"/>
      <c r="L59" s="1022"/>
      <c r="N59" s="977" t="s">
        <v>577</v>
      </c>
      <c r="O59" s="978"/>
      <c r="P59" s="978"/>
      <c r="Q59" s="978"/>
      <c r="R59" s="978"/>
      <c r="S59" s="979"/>
      <c r="T59" s="99"/>
      <c r="U59" s="99"/>
    </row>
    <row r="60" spans="14:21" ht="13.5" customHeight="1" thickBot="1">
      <c r="N60" s="152" t="s">
        <v>223</v>
      </c>
      <c r="O60" s="227">
        <f>D12</f>
        <v>30</v>
      </c>
      <c r="P60" s="226" t="s">
        <v>51</v>
      </c>
      <c r="Q60" s="233">
        <f>(450+5*O60)/100</f>
        <v>6</v>
      </c>
      <c r="R60" s="72" t="s">
        <v>66</v>
      </c>
      <c r="S60" s="73">
        <v>40</v>
      </c>
      <c r="T60" s="255"/>
      <c r="U60" s="58"/>
    </row>
    <row r="61" spans="2:21" ht="14.25" customHeight="1" thickBot="1">
      <c r="B61" s="1208" t="s">
        <v>1064</v>
      </c>
      <c r="C61" s="1114"/>
      <c r="D61" s="1390"/>
      <c r="E61" s="1390"/>
      <c r="F61" s="1390"/>
      <c r="G61" s="1390"/>
      <c r="H61" s="1390"/>
      <c r="I61" s="1390"/>
      <c r="J61" s="1390"/>
      <c r="K61" s="1390"/>
      <c r="L61" s="1586"/>
      <c r="N61" s="988" t="s">
        <v>107</v>
      </c>
      <c r="O61" s="77" t="s">
        <v>56</v>
      </c>
      <c r="P61" s="554">
        <f>MIN(INT(($R$4*Q60)*(1+$B$33+$E$33+$B$51)*(IF($T$8="true",$P$8,0)+$A$24)),ReadMe!$M$94)</f>
        <v>41932</v>
      </c>
      <c r="Q61" s="975" t="s">
        <v>406</v>
      </c>
      <c r="R61" s="194" t="s">
        <v>56</v>
      </c>
      <c r="S61" s="160">
        <f>MIN(INT(P61*$E$41),ReadMe!$M$94)</f>
        <v>54511</v>
      </c>
      <c r="T61" s="1432" t="s">
        <v>127</v>
      </c>
      <c r="U61" s="1408">
        <f>INT(P62*(1-$G$41)+S62*$G$41)</f>
        <v>56233</v>
      </c>
    </row>
    <row r="62" spans="2:21" ht="13.5">
      <c r="B62" s="1587" t="s">
        <v>1065</v>
      </c>
      <c r="C62" s="1588"/>
      <c r="D62" s="1589"/>
      <c r="E62" s="1589"/>
      <c r="F62" s="1589"/>
      <c r="G62" s="1589"/>
      <c r="H62" s="1589"/>
      <c r="I62" s="1589"/>
      <c r="J62" s="1589"/>
      <c r="K62" s="1589"/>
      <c r="L62" s="1590"/>
      <c r="N62" s="1051"/>
      <c r="O62" s="44" t="s">
        <v>57</v>
      </c>
      <c r="P62" s="555">
        <f>INT((P61+P63)/2)</f>
        <v>50917</v>
      </c>
      <c r="Q62" s="1069"/>
      <c r="R62" s="80" t="s">
        <v>57</v>
      </c>
      <c r="S62" s="161">
        <f>INT((S61+S63)/2)</f>
        <v>72182</v>
      </c>
      <c r="T62" s="1433"/>
      <c r="U62" s="1409"/>
    </row>
    <row r="63" spans="2:21" ht="14.25" thickBot="1">
      <c r="B63" s="1578" t="s">
        <v>1066</v>
      </c>
      <c r="C63" s="1579"/>
      <c r="D63" s="1580"/>
      <c r="E63" s="1580"/>
      <c r="F63" s="1580"/>
      <c r="G63" s="1580"/>
      <c r="H63" s="1580"/>
      <c r="I63" s="1580"/>
      <c r="J63" s="1580"/>
      <c r="K63" s="1580"/>
      <c r="L63" s="1581"/>
      <c r="N63" s="989"/>
      <c r="O63" s="15" t="s">
        <v>58</v>
      </c>
      <c r="P63" s="556">
        <f>MIN(INT(($T$4*Q60)*(1+$B$33+$E$33+$B$51)*(IF($T$8="true",$P$8,0)+$A$24)),ReadMe!$M$94)</f>
        <v>59903</v>
      </c>
      <c r="Q63" s="1070"/>
      <c r="R63" s="87" t="s">
        <v>58</v>
      </c>
      <c r="S63" s="162">
        <f>MIN(INT(P63*$F$41),ReadMe!$M$94)</f>
        <v>89854</v>
      </c>
      <c r="T63" s="1443"/>
      <c r="U63" s="1459"/>
    </row>
    <row r="64" spans="2:21" ht="14.25" thickBot="1">
      <c r="B64" s="1017" t="s">
        <v>721</v>
      </c>
      <c r="C64" s="1015"/>
      <c r="D64" s="1013"/>
      <c r="E64" s="1013"/>
      <c r="F64" s="1013"/>
      <c r="G64" s="1013"/>
      <c r="H64" s="1013"/>
      <c r="I64" s="1013"/>
      <c r="J64" s="1013"/>
      <c r="K64" s="1013"/>
      <c r="L64" s="1010"/>
      <c r="U64" s="421">
        <f>(U61/(IF($T$8="true",$P$8,0)+$A$24))*(IF($T$8="true",$P$8,0)+$A$25)</f>
        <v>55499.52608695653</v>
      </c>
    </row>
    <row r="65" spans="2:21" ht="14.25" thickBot="1">
      <c r="B65" s="1017" t="s">
        <v>1078</v>
      </c>
      <c r="C65" s="1015"/>
      <c r="D65" s="1013"/>
      <c r="E65" s="1013"/>
      <c r="F65" s="1013"/>
      <c r="G65" s="1013"/>
      <c r="H65" s="1013"/>
      <c r="I65" s="1013"/>
      <c r="J65" s="1013"/>
      <c r="K65" s="1013"/>
      <c r="L65" s="1010"/>
      <c r="N65" s="977" t="s">
        <v>677</v>
      </c>
      <c r="O65" s="978"/>
      <c r="P65" s="978"/>
      <c r="Q65" s="979"/>
      <c r="R65" s="99"/>
      <c r="S65" s="99"/>
      <c r="T65" s="99"/>
      <c r="U65" s="99"/>
    </row>
    <row r="66" spans="2:21" ht="14.25" thickBot="1">
      <c r="B66" s="1418" t="s">
        <v>1075</v>
      </c>
      <c r="C66" s="1419"/>
      <c r="D66" s="1419"/>
      <c r="E66" s="1419"/>
      <c r="F66" s="1419"/>
      <c r="G66" s="1419"/>
      <c r="H66" s="1419"/>
      <c r="I66" s="1419"/>
      <c r="J66" s="1419"/>
      <c r="K66" s="1419"/>
      <c r="L66" s="1420"/>
      <c r="N66" s="152" t="s">
        <v>223</v>
      </c>
      <c r="O66" s="227">
        <f>D13</f>
        <v>20</v>
      </c>
      <c r="P66" s="304" t="s">
        <v>51</v>
      </c>
      <c r="Q66" s="306">
        <f>((135+4*O66)+9*D25)/100</f>
        <v>3.05</v>
      </c>
      <c r="R66" s="22"/>
      <c r="S66" s="22"/>
      <c r="T66" s="253"/>
      <c r="U66" s="58"/>
    </row>
    <row r="67" spans="2:32" ht="13.5">
      <c r="B67" s="1418" t="s">
        <v>1076</v>
      </c>
      <c r="C67" s="1419"/>
      <c r="D67" s="1419"/>
      <c r="E67" s="1419"/>
      <c r="F67" s="1419"/>
      <c r="G67" s="1419"/>
      <c r="H67" s="1419"/>
      <c r="I67" s="1419"/>
      <c r="J67" s="1419"/>
      <c r="K67" s="1419"/>
      <c r="L67" s="1420"/>
      <c r="N67" s="988" t="s">
        <v>107</v>
      </c>
      <c r="O67" s="77" t="s">
        <v>56</v>
      </c>
      <c r="P67" s="554">
        <f>MIN(INT(($R$4*Q66)*(1+$B$33+$E$33+$B$51)*(IF($T$8="true",$P$8,0)+$A$24)),ReadMe!$M$94)</f>
        <v>21315</v>
      </c>
      <c r="Q67" s="975" t="s">
        <v>406</v>
      </c>
      <c r="R67" s="194" t="s">
        <v>56</v>
      </c>
      <c r="S67" s="160">
        <f>MIN(INT(P67*$E$41),ReadMe!$M$94)</f>
        <v>27709</v>
      </c>
      <c r="T67" s="1432" t="s">
        <v>127</v>
      </c>
      <c r="U67" s="1408">
        <f>INT(P68*(1-$G$41)+S68*$G$41)</f>
        <v>28584</v>
      </c>
      <c r="AF67" s="22"/>
    </row>
    <row r="68" spans="2:32" ht="13.5">
      <c r="B68" s="1578" t="s">
        <v>1079</v>
      </c>
      <c r="C68" s="1579"/>
      <c r="D68" s="1580"/>
      <c r="E68" s="1580"/>
      <c r="F68" s="1580"/>
      <c r="G68" s="1580"/>
      <c r="H68" s="1580"/>
      <c r="I68" s="1580"/>
      <c r="J68" s="1580"/>
      <c r="K68" s="1580"/>
      <c r="L68" s="1581"/>
      <c r="N68" s="1051"/>
      <c r="O68" s="44" t="s">
        <v>57</v>
      </c>
      <c r="P68" s="555">
        <f>INT((P67+P69)/2)</f>
        <v>25882</v>
      </c>
      <c r="Q68" s="1069"/>
      <c r="R68" s="80" t="s">
        <v>57</v>
      </c>
      <c r="S68" s="161">
        <f>INT((S67+S69)/2)</f>
        <v>36692</v>
      </c>
      <c r="T68" s="1433"/>
      <c r="U68" s="1409"/>
      <c r="AF68" s="22"/>
    </row>
    <row r="69" spans="2:22" ht="14.25" thickBot="1">
      <c r="B69" s="1578" t="s">
        <v>1067</v>
      </c>
      <c r="C69" s="1579"/>
      <c r="D69" s="1580"/>
      <c r="E69" s="1580"/>
      <c r="F69" s="1580"/>
      <c r="G69" s="1580"/>
      <c r="H69" s="1580"/>
      <c r="I69" s="1580"/>
      <c r="J69" s="1580"/>
      <c r="K69" s="1580"/>
      <c r="L69" s="1581"/>
      <c r="N69" s="989"/>
      <c r="O69" s="15" t="s">
        <v>58</v>
      </c>
      <c r="P69" s="556">
        <f>MIN(INT(($T$4*Q66)*(1+$B$33+$E$33+$B$51)*(IF($T$8="true",$P$8,0)+$A$24)),ReadMe!$M$94)</f>
        <v>30450</v>
      </c>
      <c r="Q69" s="1070"/>
      <c r="R69" s="87" t="s">
        <v>58</v>
      </c>
      <c r="S69" s="162">
        <f>MIN(INT(P69*$F$41),ReadMe!$M$94)</f>
        <v>45675</v>
      </c>
      <c r="T69" s="1443"/>
      <c r="U69" s="1459"/>
      <c r="V69" s="22"/>
    </row>
    <row r="70" spans="2:22" ht="14.25" thickBot="1">
      <c r="B70" s="1582" t="s">
        <v>1068</v>
      </c>
      <c r="C70" s="1583"/>
      <c r="D70" s="1584"/>
      <c r="E70" s="1584"/>
      <c r="F70" s="1584"/>
      <c r="G70" s="1584"/>
      <c r="H70" s="1584"/>
      <c r="I70" s="1584"/>
      <c r="J70" s="1584"/>
      <c r="K70" s="1584"/>
      <c r="L70" s="1585"/>
      <c r="N70" s="1334" t="s">
        <v>722</v>
      </c>
      <c r="O70" s="1335"/>
      <c r="P70" s="657" t="s">
        <v>56</v>
      </c>
      <c r="Q70" s="778">
        <f>P67*2</f>
        <v>42630</v>
      </c>
      <c r="U70" s="421">
        <f>(Q71/(IF($T$8="true",$P$8,0)+$A$24))*(IF($T$8="true",$P$8,0)+$A$25)</f>
        <v>56422.33043478261</v>
      </c>
      <c r="V70" s="22"/>
    </row>
    <row r="71" spans="14:17" ht="13.5">
      <c r="N71" s="1334"/>
      <c r="O71" s="1335"/>
      <c r="P71" s="179" t="s">
        <v>140</v>
      </c>
      <c r="Q71" s="272">
        <f>U67*2</f>
        <v>57168</v>
      </c>
    </row>
    <row r="72" spans="14:17" ht="14.25" thickBot="1">
      <c r="N72" s="1276"/>
      <c r="O72" s="1336"/>
      <c r="P72" s="95" t="s">
        <v>133</v>
      </c>
      <c r="Q72" s="159">
        <f>S69*2</f>
        <v>91350</v>
      </c>
    </row>
    <row r="73" ht="14.25" thickBot="1"/>
    <row r="74" spans="14:21" ht="14.25" thickBot="1">
      <c r="N74" s="977" t="s">
        <v>673</v>
      </c>
      <c r="O74" s="978"/>
      <c r="P74" s="978"/>
      <c r="Q74" s="978"/>
      <c r="R74" s="978"/>
      <c r="S74" s="979"/>
      <c r="T74" s="99"/>
      <c r="U74" s="99"/>
    </row>
    <row r="75" spans="14:21" ht="14.25" thickBot="1">
      <c r="N75" s="152" t="s">
        <v>223</v>
      </c>
      <c r="O75" s="227">
        <f>D14</f>
        <v>20</v>
      </c>
      <c r="P75" s="226" t="s">
        <v>51</v>
      </c>
      <c r="Q75" s="228">
        <f>((320+7*O75)+15*D25)/100</f>
        <v>6.1</v>
      </c>
      <c r="R75" s="1276" t="s">
        <v>675</v>
      </c>
      <c r="S75" s="1359"/>
      <c r="T75" s="253"/>
      <c r="U75" s="58"/>
    </row>
    <row r="76" spans="14:21" ht="13.5">
      <c r="N76" s="988" t="s">
        <v>107</v>
      </c>
      <c r="O76" s="77" t="s">
        <v>56</v>
      </c>
      <c r="P76" s="554">
        <f>MIN(INT(($R$4*Q75)*(1+$B$33+$E$33+$B$51)*(IF($T$8="true",$P$8,0)+$A$24)),ReadMe!$M$94)</f>
        <v>42631</v>
      </c>
      <c r="Q76" s="975" t="s">
        <v>406</v>
      </c>
      <c r="R76" s="194" t="s">
        <v>56</v>
      </c>
      <c r="S76" s="160">
        <f>MIN(INT(P76*$E$41),ReadMe!$M$94)</f>
        <v>55420</v>
      </c>
      <c r="T76" s="1432" t="s">
        <v>127</v>
      </c>
      <c r="U76" s="1408">
        <f>INT(P77*(1-$G$41)+S77*$G$41)</f>
        <v>57170</v>
      </c>
    </row>
    <row r="77" spans="14:21" ht="13.5">
      <c r="N77" s="1051"/>
      <c r="O77" s="44" t="s">
        <v>57</v>
      </c>
      <c r="P77" s="555">
        <f>INT((P76+P78)/2)</f>
        <v>51766</v>
      </c>
      <c r="Q77" s="1069"/>
      <c r="R77" s="80" t="s">
        <v>57</v>
      </c>
      <c r="S77" s="161">
        <f>INT((S76+S78)/2)</f>
        <v>73385</v>
      </c>
      <c r="T77" s="1433"/>
      <c r="U77" s="1409"/>
    </row>
    <row r="78" spans="14:21" ht="14.25" thickBot="1">
      <c r="N78" s="989"/>
      <c r="O78" s="15" t="s">
        <v>58</v>
      </c>
      <c r="P78" s="556">
        <f>MIN(INT(($T$4*Q75)*(1+$B$33+$E$33+$B$51)*(IF($T$8="true",$P$8,0)+$A$24)),ReadMe!$M$94)</f>
        <v>60901</v>
      </c>
      <c r="Q78" s="1070"/>
      <c r="R78" s="87" t="s">
        <v>58</v>
      </c>
      <c r="S78" s="162">
        <f>MIN(INT(P78*$F$41),ReadMe!$M$94)</f>
        <v>91351</v>
      </c>
      <c r="T78" s="1443"/>
      <c r="U78" s="1459"/>
    </row>
    <row r="79" ht="14.25" thickBot="1">
      <c r="U79" s="421">
        <f>(U76/(IF($T$8="true",$P$8,0)+$A$24))*(IF($T$8="true",$P$8,0)+$A$25)</f>
        <v>56424.30434782609</v>
      </c>
    </row>
    <row r="80" spans="14:21" ht="14.25" thickBot="1">
      <c r="N80" s="977" t="s">
        <v>671</v>
      </c>
      <c r="O80" s="978"/>
      <c r="P80" s="978"/>
      <c r="Q80" s="979"/>
      <c r="R80" s="99"/>
      <c r="S80" s="99"/>
      <c r="T80" s="99"/>
      <c r="U80" s="99"/>
    </row>
    <row r="81" spans="14:21" ht="14.25" thickBot="1">
      <c r="N81" s="152" t="s">
        <v>223</v>
      </c>
      <c r="O81" s="227">
        <f>D15</f>
        <v>20</v>
      </c>
      <c r="P81" s="304" t="s">
        <v>51</v>
      </c>
      <c r="Q81" s="306">
        <f>((190+6*O81)+12*D25)/100</f>
        <v>4.3</v>
      </c>
      <c r="R81" s="22"/>
      <c r="S81" s="22"/>
      <c r="T81" s="253"/>
      <c r="U81" s="58"/>
    </row>
    <row r="82" spans="14:21" ht="13.5">
      <c r="N82" s="988" t="s">
        <v>107</v>
      </c>
      <c r="O82" s="77" t="s">
        <v>56</v>
      </c>
      <c r="P82" s="554">
        <f>MIN(INT(($R$4*Q81)*(1+$B$33+$E$33+$B$51)*(IF($T$8="true",$P$8,0)+$A$24)),ReadMe!$M$94)</f>
        <v>30051</v>
      </c>
      <c r="Q82" s="975" t="s">
        <v>406</v>
      </c>
      <c r="R82" s="194" t="s">
        <v>56</v>
      </c>
      <c r="S82" s="160">
        <f>MIN(INT(P82*$E$41),ReadMe!$M$94)</f>
        <v>39066</v>
      </c>
      <c r="T82" s="1432" t="s">
        <v>127</v>
      </c>
      <c r="U82" s="1408">
        <f>INT(P83*(1-$G$41)+S83*$G$41)</f>
        <v>40300</v>
      </c>
    </row>
    <row r="83" spans="14:21" ht="13.5">
      <c r="N83" s="1051"/>
      <c r="O83" s="44" t="s">
        <v>57</v>
      </c>
      <c r="P83" s="555">
        <f>INT((P82+P84)/2)</f>
        <v>36490</v>
      </c>
      <c r="Q83" s="1069"/>
      <c r="R83" s="80" t="s">
        <v>57</v>
      </c>
      <c r="S83" s="161">
        <f>INT((S82+S84)/2)</f>
        <v>51730</v>
      </c>
      <c r="T83" s="1433"/>
      <c r="U83" s="1409"/>
    </row>
    <row r="84" spans="14:21" ht="14.25" thickBot="1">
      <c r="N84" s="989"/>
      <c r="O84" s="15" t="s">
        <v>58</v>
      </c>
      <c r="P84" s="556">
        <f>MIN(INT(($T$4*Q81)*(1+$B$33+$E$33+$B$51)*(IF($T$8="true",$P$8,0)+$A$24)),ReadMe!$M$94)</f>
        <v>42930</v>
      </c>
      <c r="Q84" s="1070"/>
      <c r="R84" s="87" t="s">
        <v>58</v>
      </c>
      <c r="S84" s="162">
        <f>MIN(INT(P84*$F$41),ReadMe!$M$94)</f>
        <v>64395</v>
      </c>
      <c r="T84" s="1443"/>
      <c r="U84" s="1459"/>
    </row>
    <row r="85" ht="14.25" thickBot="1">
      <c r="U85" s="421">
        <f>(U82/(IF($T$8="true",$P$8,0)+$A$24))*(IF($T$8="true",$P$8,0)+$A$25)</f>
        <v>39774.34782608696</v>
      </c>
    </row>
    <row r="86" spans="14:21" ht="14.25" thickBot="1">
      <c r="N86" s="977" t="s">
        <v>1015</v>
      </c>
      <c r="O86" s="978"/>
      <c r="P86" s="978"/>
      <c r="Q86" s="979"/>
      <c r="R86" s="99"/>
      <c r="S86" s="99"/>
      <c r="T86" s="99"/>
      <c r="U86" s="99"/>
    </row>
    <row r="87" spans="14:21" ht="14.25" thickBot="1">
      <c r="N87" s="152" t="s">
        <v>223</v>
      </c>
      <c r="O87" s="227">
        <f>D16</f>
        <v>20</v>
      </c>
      <c r="P87" s="304" t="s">
        <v>51</v>
      </c>
      <c r="Q87" s="306">
        <f>(160+5*O87)/100</f>
        <v>2.6</v>
      </c>
      <c r="R87" s="22"/>
      <c r="S87" s="22"/>
      <c r="T87" s="253"/>
      <c r="U87" s="58"/>
    </row>
    <row r="88" spans="14:21" ht="13.5">
      <c r="N88" s="988" t="s">
        <v>107</v>
      </c>
      <c r="O88" s="77" t="s">
        <v>56</v>
      </c>
      <c r="P88" s="554">
        <f>MIN(INT(($R$4*Q87)*(1+$B$33+$E$33+$B$51)*(IF($T$8="true",$P$8,0)+$A$24)),ReadMe!$M$94)</f>
        <v>18170</v>
      </c>
      <c r="Q88" s="975" t="s">
        <v>406</v>
      </c>
      <c r="R88" s="194" t="s">
        <v>56</v>
      </c>
      <c r="S88" s="160">
        <f>MIN(INT(P88*$E$41),ReadMe!$M$94)</f>
        <v>23621</v>
      </c>
      <c r="T88" s="1432" t="s">
        <v>127</v>
      </c>
      <c r="U88" s="1408">
        <f>INT(P89*(1-$G$41)+S89*$G$41)</f>
        <v>24367</v>
      </c>
    </row>
    <row r="89" spans="14:21" ht="13.5">
      <c r="N89" s="1051"/>
      <c r="O89" s="44" t="s">
        <v>57</v>
      </c>
      <c r="P89" s="555">
        <f>INT((P88+P90)/2)</f>
        <v>22064</v>
      </c>
      <c r="Q89" s="1069"/>
      <c r="R89" s="80" t="s">
        <v>57</v>
      </c>
      <c r="S89" s="161">
        <f>INT((S88+S90)/2)</f>
        <v>31279</v>
      </c>
      <c r="T89" s="1433"/>
      <c r="U89" s="1409"/>
    </row>
    <row r="90" spans="14:21" ht="14.25" thickBot="1">
      <c r="N90" s="989"/>
      <c r="O90" s="15" t="s">
        <v>58</v>
      </c>
      <c r="P90" s="556">
        <f>MIN(INT(($T$4*Q87)*(1+$B$33+$E$33+$B$51)*(IF($T$8="true",$P$8,0)+$A$24)),ReadMe!$M$94)</f>
        <v>25958</v>
      </c>
      <c r="Q90" s="1070"/>
      <c r="R90" s="87" t="s">
        <v>58</v>
      </c>
      <c r="S90" s="162">
        <f>MIN(INT(P90*$F$41),ReadMe!$M$94)</f>
        <v>38937</v>
      </c>
      <c r="T90" s="1443"/>
      <c r="U90" s="1459"/>
    </row>
    <row r="91" ht="14.25" thickBot="1">
      <c r="U91" s="421">
        <f>(U88/(IF($T$8="true",$P$8,0)+$A$24))*(IF($T$8="true",$P$8,0)+$A$25)</f>
        <v>24049.169565217395</v>
      </c>
    </row>
    <row r="92" spans="14:21" ht="14.25" thickBot="1">
      <c r="N92" s="1062" t="s">
        <v>960</v>
      </c>
      <c r="O92" s="1063"/>
      <c r="P92" s="1063"/>
      <c r="Q92" s="1063"/>
      <c r="R92" s="1063"/>
      <c r="S92" s="1063"/>
      <c r="T92" s="1064"/>
      <c r="U92" s="99"/>
    </row>
    <row r="93" spans="14:21" ht="14.25" thickBot="1">
      <c r="N93" s="187" t="s">
        <v>51</v>
      </c>
      <c r="O93" s="491">
        <v>1</v>
      </c>
      <c r="P93" s="92" t="s">
        <v>113</v>
      </c>
      <c r="Q93" s="487">
        <v>0.6</v>
      </c>
      <c r="R93" s="1068" t="s">
        <v>961</v>
      </c>
      <c r="S93" s="1036"/>
      <c r="T93" s="492">
        <v>20</v>
      </c>
      <c r="U93" s="58"/>
    </row>
    <row r="94" spans="14:21" ht="13.5">
      <c r="N94" s="988" t="s">
        <v>107</v>
      </c>
      <c r="O94" s="77" t="s">
        <v>56</v>
      </c>
      <c r="P94" s="554">
        <f>MIN(INT(($R$4*Q93)*(1+$B$33+$E$33+$B$51)*(IF($A$19="true",$P$8,0)+$A$24)),ReadMe!$M$94)</f>
        <v>4193</v>
      </c>
      <c r="Q94" s="975" t="s">
        <v>406</v>
      </c>
      <c r="R94" s="194" t="s">
        <v>56</v>
      </c>
      <c r="S94" s="160">
        <f>MIN(INT(P94*$E$41),ReadMe!$M$94)</f>
        <v>5450</v>
      </c>
      <c r="T94" s="1432" t="s">
        <v>127</v>
      </c>
      <c r="U94" s="1408">
        <f>INT(P95*(1-$G$41)+S95*$G$41)</f>
        <v>5622</v>
      </c>
    </row>
    <row r="95" spans="14:21" ht="13.5">
      <c r="N95" s="1051"/>
      <c r="O95" s="44" t="s">
        <v>57</v>
      </c>
      <c r="P95" s="555">
        <f>INT((P94+P96)/2)</f>
        <v>5091</v>
      </c>
      <c r="Q95" s="1069"/>
      <c r="R95" s="80" t="s">
        <v>57</v>
      </c>
      <c r="S95" s="161">
        <f>INT((S94+S96)/2)</f>
        <v>7217</v>
      </c>
      <c r="T95" s="1433"/>
      <c r="U95" s="1409"/>
    </row>
    <row r="96" spans="14:21" ht="14.25" thickBot="1">
      <c r="N96" s="989"/>
      <c r="O96" s="15" t="s">
        <v>58</v>
      </c>
      <c r="P96" s="556">
        <f>MIN(INT(($T$4*Q93)*(1+$B$33+$E$33+$B$51)*(IF($A$19="true",$P$8,0)+$A$24)),ReadMe!$M$94)</f>
        <v>5990</v>
      </c>
      <c r="Q96" s="1070"/>
      <c r="R96" s="87" t="s">
        <v>58</v>
      </c>
      <c r="S96" s="162">
        <f>MIN(INT(P96*$F$41),ReadMe!$M$94)</f>
        <v>8985</v>
      </c>
      <c r="T96" s="1443"/>
      <c r="U96" s="1459"/>
    </row>
    <row r="115" spans="20:21" ht="13.5">
      <c r="T115" s="256"/>
      <c r="U115" s="58"/>
    </row>
    <row r="156" spans="23:30" ht="13.5">
      <c r="W156" s="60"/>
      <c r="X156" s="316"/>
      <c r="AC156" s="317"/>
      <c r="AD156" s="317"/>
    </row>
    <row r="193" spans="23:30" ht="13.5">
      <c r="W193" s="60"/>
      <c r="X193" s="60"/>
      <c r="Y193" s="60"/>
      <c r="Z193" s="59"/>
      <c r="AA193" s="59"/>
      <c r="AB193" s="59"/>
      <c r="AC193" s="254"/>
      <c r="AD193" s="58"/>
    </row>
    <row r="199" spans="29:30" ht="13.5">
      <c r="AC199" s="255"/>
      <c r="AD199" s="58"/>
    </row>
  </sheetData>
  <sheetProtection/>
  <protectedRanges>
    <protectedRange sqref="D44:D45 D47" name="範囲1_1_1"/>
  </protectedRanges>
  <mergeCells count="149">
    <mergeCell ref="N53:S53"/>
    <mergeCell ref="N49:N51"/>
    <mergeCell ref="N6:R6"/>
    <mergeCell ref="I39:J39"/>
    <mergeCell ref="I41:J41"/>
    <mergeCell ref="Q49:Q51"/>
    <mergeCell ref="N47:Q47"/>
    <mergeCell ref="I48:J48"/>
    <mergeCell ref="B53:L53"/>
    <mergeCell ref="B47:C47"/>
    <mergeCell ref="T30:T32"/>
    <mergeCell ref="U30:U32"/>
    <mergeCell ref="N10:U10"/>
    <mergeCell ref="N15:O17"/>
    <mergeCell ref="Q12:Q14"/>
    <mergeCell ref="N30:N32"/>
    <mergeCell ref="U94:U96"/>
    <mergeCell ref="T15:U17"/>
    <mergeCell ref="R16:S16"/>
    <mergeCell ref="R17:S17"/>
    <mergeCell ref="U82:U84"/>
    <mergeCell ref="T49:T51"/>
    <mergeCell ref="U49:U51"/>
    <mergeCell ref="N19:S19"/>
    <mergeCell ref="N28:U28"/>
    <mergeCell ref="T21:T23"/>
    <mergeCell ref="T88:T90"/>
    <mergeCell ref="U88:U90"/>
    <mergeCell ref="T67:T69"/>
    <mergeCell ref="U67:U69"/>
    <mergeCell ref="T76:T78"/>
    <mergeCell ref="U76:U78"/>
    <mergeCell ref="T55:T57"/>
    <mergeCell ref="U55:U57"/>
    <mergeCell ref="Q55:Q57"/>
    <mergeCell ref="Q61:Q63"/>
    <mergeCell ref="T61:T63"/>
    <mergeCell ref="U61:U63"/>
    <mergeCell ref="N59:S59"/>
    <mergeCell ref="B46:C46"/>
    <mergeCell ref="B70:L70"/>
    <mergeCell ref="B61:L61"/>
    <mergeCell ref="B62:L62"/>
    <mergeCell ref="E46:F46"/>
    <mergeCell ref="E47:F47"/>
    <mergeCell ref="B49:D49"/>
    <mergeCell ref="B50:D50"/>
    <mergeCell ref="B69:L69"/>
    <mergeCell ref="B65:L65"/>
    <mergeCell ref="B51:D51"/>
    <mergeCell ref="B68:L68"/>
    <mergeCell ref="B67:L67"/>
    <mergeCell ref="B64:L64"/>
    <mergeCell ref="B63:L63"/>
    <mergeCell ref="B66:L66"/>
    <mergeCell ref="B55:L55"/>
    <mergeCell ref="B56:L56"/>
    <mergeCell ref="R93:S93"/>
    <mergeCell ref="N92:T92"/>
    <mergeCell ref="Q94:Q96"/>
    <mergeCell ref="T94:T96"/>
    <mergeCell ref="E30:F30"/>
    <mergeCell ref="B31:D31"/>
    <mergeCell ref="E31:F31"/>
    <mergeCell ref="N94:N96"/>
    <mergeCell ref="N37:N39"/>
    <mergeCell ref="N61:N63"/>
    <mergeCell ref="N41:S41"/>
    <mergeCell ref="N43:N45"/>
    <mergeCell ref="N55:N57"/>
    <mergeCell ref="B32:D32"/>
    <mergeCell ref="E32:F32"/>
    <mergeCell ref="F1:P1"/>
    <mergeCell ref="R2:T2"/>
    <mergeCell ref="N2:P2"/>
    <mergeCell ref="N21:N23"/>
    <mergeCell ref="B29:K29"/>
    <mergeCell ref="B30:D30"/>
    <mergeCell ref="Q21:Q23"/>
    <mergeCell ref="Q30:Q32"/>
    <mergeCell ref="N24:O26"/>
    <mergeCell ref="E33:F33"/>
    <mergeCell ref="I35:K35"/>
    <mergeCell ref="I36:K36"/>
    <mergeCell ref="B35:D35"/>
    <mergeCell ref="B33:D33"/>
    <mergeCell ref="B36:D36"/>
    <mergeCell ref="B37:C37"/>
    <mergeCell ref="I50:J50"/>
    <mergeCell ref="I49:J49"/>
    <mergeCell ref="B44:C44"/>
    <mergeCell ref="E44:F44"/>
    <mergeCell ref="B45:C45"/>
    <mergeCell ref="E45:F45"/>
    <mergeCell ref="B38:C38"/>
    <mergeCell ref="I43:K43"/>
    <mergeCell ref="B42:D42"/>
    <mergeCell ref="B39:C39"/>
    <mergeCell ref="B40:D40"/>
    <mergeCell ref="B41:D41"/>
    <mergeCell ref="N65:Q65"/>
    <mergeCell ref="B59:L59"/>
    <mergeCell ref="B58:L58"/>
    <mergeCell ref="B54:L54"/>
    <mergeCell ref="B57:L57"/>
    <mergeCell ref="E42:G42"/>
    <mergeCell ref="I47:K47"/>
    <mergeCell ref="N67:N69"/>
    <mergeCell ref="Q67:Q69"/>
    <mergeCell ref="N76:N78"/>
    <mergeCell ref="Q76:Q78"/>
    <mergeCell ref="N74:S74"/>
    <mergeCell ref="N70:O72"/>
    <mergeCell ref="R75:S75"/>
    <mergeCell ref="N88:N90"/>
    <mergeCell ref="N82:N84"/>
    <mergeCell ref="N86:Q86"/>
    <mergeCell ref="Q82:Q84"/>
    <mergeCell ref="Q88:Q90"/>
    <mergeCell ref="N80:Q80"/>
    <mergeCell ref="U37:U39"/>
    <mergeCell ref="T82:T84"/>
    <mergeCell ref="W27:X27"/>
    <mergeCell ref="W29:X29"/>
    <mergeCell ref="W33:X33"/>
    <mergeCell ref="W28:X28"/>
    <mergeCell ref="W31:X31"/>
    <mergeCell ref="W30:X30"/>
    <mergeCell ref="W32:X32"/>
    <mergeCell ref="U43:U45"/>
    <mergeCell ref="T12:T14"/>
    <mergeCell ref="Q43:Q45"/>
    <mergeCell ref="T43:T45"/>
    <mergeCell ref="N35:S35"/>
    <mergeCell ref="Q37:Q39"/>
    <mergeCell ref="T37:T39"/>
    <mergeCell ref="N33:Q33"/>
    <mergeCell ref="R33:U33"/>
    <mergeCell ref="U21:U23"/>
    <mergeCell ref="B2:C2"/>
    <mergeCell ref="B26:C26"/>
    <mergeCell ref="AD7:AE7"/>
    <mergeCell ref="AD8:AE8"/>
    <mergeCell ref="W2:AE3"/>
    <mergeCell ref="AD5:AE5"/>
    <mergeCell ref="AD6:AE6"/>
    <mergeCell ref="U12:U14"/>
    <mergeCell ref="N12:N14"/>
    <mergeCell ref="W26:AD26"/>
  </mergeCells>
  <printOptions/>
  <pageMargins left="0.75" right="0.75" top="1" bottom="1" header="0.512" footer="0.512"/>
  <pageSetup horizontalDpi="300" verticalDpi="300" orientation="portrait" paperSize="9" r:id="rId2"/>
  <ignoredErrors>
    <ignoredError sqref="G27:J27" formulaRange="1"/>
  </ignoredErrors>
  <legacyDrawing r:id="rId1"/>
</worksheet>
</file>

<file path=xl/worksheets/sheet13.xml><?xml version="1.0" encoding="utf-8"?>
<worksheet xmlns="http://schemas.openxmlformats.org/spreadsheetml/2006/main" xmlns:r="http://schemas.openxmlformats.org/officeDocument/2006/relationships">
  <dimension ref="A1:AC81"/>
  <sheetViews>
    <sheetView workbookViewId="0" topLeftCell="A1">
      <selection activeCell="A1" sqref="A1"/>
    </sheetView>
  </sheetViews>
  <sheetFormatPr defaultColWidth="9.00390625" defaultRowHeight="13.5"/>
  <cols>
    <col min="1" max="1" width="2.625" style="0" customWidth="1"/>
    <col min="2" max="11" width="5.625" style="0" customWidth="1"/>
    <col min="12" max="13" width="2.625" style="0" customWidth="1"/>
    <col min="21" max="21" width="1.625" style="0" customWidth="1"/>
    <col min="23" max="23" width="9.50390625" style="0" bestFit="1" customWidth="1"/>
    <col min="24" max="24" width="1.625" style="0" customWidth="1"/>
    <col min="27" max="27" width="1.625" style="0" customWidth="1"/>
  </cols>
  <sheetData>
    <row r="1" spans="6:16" ht="24.75" thickBot="1">
      <c r="F1" s="990" t="s">
        <v>524</v>
      </c>
      <c r="G1" s="990"/>
      <c r="H1" s="990"/>
      <c r="I1" s="990"/>
      <c r="J1" s="990"/>
      <c r="K1" s="990"/>
      <c r="L1" s="990"/>
      <c r="M1" s="990"/>
      <c r="N1" s="990"/>
      <c r="O1" s="990"/>
      <c r="P1" s="990"/>
    </row>
    <row r="2" spans="2:21" ht="14.25" thickBot="1">
      <c r="B2" s="1078" t="s">
        <v>37</v>
      </c>
      <c r="C2" s="1094"/>
      <c r="D2" s="142">
        <v>150</v>
      </c>
      <c r="E2" s="38"/>
      <c r="F2" s="3" t="s">
        <v>129</v>
      </c>
      <c r="G2" s="3" t="s">
        <v>494</v>
      </c>
      <c r="H2" s="3" t="s">
        <v>495</v>
      </c>
      <c r="I2" s="3" t="s">
        <v>523</v>
      </c>
      <c r="J2" s="3" t="s">
        <v>522</v>
      </c>
      <c r="K2" s="26" t="s">
        <v>430</v>
      </c>
      <c r="N2" s="991" t="s">
        <v>104</v>
      </c>
      <c r="O2" s="992"/>
      <c r="P2" s="987"/>
      <c r="R2" s="991" t="s">
        <v>418</v>
      </c>
      <c r="S2" s="992"/>
      <c r="T2" s="987"/>
      <c r="U2" s="68"/>
    </row>
    <row r="3" spans="2:21" ht="14.25" thickBot="1">
      <c r="B3" s="14" t="s">
        <v>40</v>
      </c>
      <c r="C3" s="571"/>
      <c r="D3" s="16">
        <f>((D2-1)*5+IF(D2&gt;=120,35,IF(D2&gt;=70,30,25)))-(G3+H3+J3+I3)</f>
        <v>0</v>
      </c>
      <c r="E3" s="43" t="s">
        <v>41</v>
      </c>
      <c r="F3" s="8"/>
      <c r="G3" s="8">
        <v>48</v>
      </c>
      <c r="H3" s="8">
        <v>724</v>
      </c>
      <c r="I3" s="8">
        <v>4</v>
      </c>
      <c r="J3" s="8">
        <v>4</v>
      </c>
      <c r="K3" s="9"/>
      <c r="N3" s="10" t="s">
        <v>69</v>
      </c>
      <c r="O3" s="11" t="s">
        <v>70</v>
      </c>
      <c r="P3" s="12" t="s">
        <v>71</v>
      </c>
      <c r="R3" s="71" t="s">
        <v>69</v>
      </c>
      <c r="S3" s="72" t="s">
        <v>70</v>
      </c>
      <c r="T3" s="73" t="s">
        <v>71</v>
      </c>
      <c r="U3" s="22"/>
    </row>
    <row r="4" spans="2:20" ht="14.25" thickBot="1">
      <c r="B4" s="1334" t="s">
        <v>538</v>
      </c>
      <c r="C4" s="1335"/>
      <c r="D4" s="1335"/>
      <c r="E4" s="7" t="s">
        <v>42</v>
      </c>
      <c r="F4" s="8">
        <v>100</v>
      </c>
      <c r="G4" s="8"/>
      <c r="H4" s="8">
        <v>7</v>
      </c>
      <c r="I4" s="8"/>
      <c r="J4" s="8"/>
      <c r="K4" s="9"/>
      <c r="N4" s="14">
        <f>P4*0.65</f>
        <v>6656.637</v>
      </c>
      <c r="O4" s="15">
        <f>(P4+N4)/2</f>
        <v>8448.8085</v>
      </c>
      <c r="P4" s="16">
        <f>$Q$4*($F$28+INT(($F$28-$F$25)*$E$31)+INT($F$28*($K$41+$K$50-1)))/100</f>
        <v>10240.98</v>
      </c>
      <c r="Q4" s="421">
        <f>1.5*(4*$H$28+$G$28)</f>
        <v>5658</v>
      </c>
      <c r="R4" s="14">
        <f>N4*$G$47*(1-$G$44/100)</f>
        <v>4992.47775</v>
      </c>
      <c r="S4" s="15">
        <f>O4*$G$47*(1-$G$44/100)</f>
        <v>6336.606374999999</v>
      </c>
      <c r="T4" s="16">
        <f>P4*$G$47*(1-$G$44/100)</f>
        <v>7680.735</v>
      </c>
    </row>
    <row r="5" spans="2:16" ht="14.25" thickBot="1">
      <c r="B5" s="169" t="s">
        <v>43</v>
      </c>
      <c r="C5" s="416"/>
      <c r="D5" s="170">
        <v>5</v>
      </c>
      <c r="E5" s="7" t="s">
        <v>44</v>
      </c>
      <c r="F5" s="8"/>
      <c r="G5" s="8"/>
      <c r="H5" s="8"/>
      <c r="I5" s="8"/>
      <c r="J5" s="8"/>
      <c r="K5" s="9"/>
      <c r="O5" s="342"/>
      <c r="P5" s="421">
        <f>$Q$4*(($F$28-D25)+INT(($F$28-D25-$F$25)*$E$31)+INT(($F$28-D25)*($K$50-1)))/100</f>
        <v>9222.54</v>
      </c>
    </row>
    <row r="6" spans="2:19" ht="14.25" thickBot="1">
      <c r="B6" s="500" t="s">
        <v>534</v>
      </c>
      <c r="C6" s="578"/>
      <c r="D6" s="142">
        <v>30</v>
      </c>
      <c r="E6" s="43" t="s">
        <v>45</v>
      </c>
      <c r="F6" s="8"/>
      <c r="G6" s="8">
        <v>10</v>
      </c>
      <c r="H6" s="8">
        <v>20</v>
      </c>
      <c r="I6" s="8">
        <v>10</v>
      </c>
      <c r="J6" s="8">
        <v>10</v>
      </c>
      <c r="K6" s="9">
        <v>10</v>
      </c>
      <c r="N6" s="1270" t="s">
        <v>717</v>
      </c>
      <c r="O6" s="1196"/>
      <c r="P6" s="1196"/>
      <c r="Q6" s="1196"/>
      <c r="R6" s="1271"/>
      <c r="S6" s="484"/>
    </row>
    <row r="7" spans="2:20" ht="13.5">
      <c r="B7" s="7" t="s">
        <v>535</v>
      </c>
      <c r="C7" s="582"/>
      <c r="D7" s="9">
        <v>30</v>
      </c>
      <c r="E7" s="43" t="s">
        <v>46</v>
      </c>
      <c r="F7" s="8"/>
      <c r="G7" s="8"/>
      <c r="H7" s="8">
        <v>7</v>
      </c>
      <c r="I7" s="8"/>
      <c r="J7" s="8"/>
      <c r="K7" s="9"/>
      <c r="N7" s="1" t="s">
        <v>715</v>
      </c>
      <c r="O7" s="3"/>
      <c r="P7" s="626">
        <v>0.15</v>
      </c>
      <c r="Q7" s="767" t="s">
        <v>716</v>
      </c>
      <c r="R7" s="779"/>
      <c r="S7" s="484" t="b">
        <v>0</v>
      </c>
      <c r="T7" s="484" t="str">
        <f>IF(S7=TRUE,"TRUE",IF(R7=1,"TRUE","FLASE"))</f>
        <v>FLASE</v>
      </c>
    </row>
    <row r="8" spans="2:20" ht="13.5" customHeight="1" thickBot="1">
      <c r="B8" s="246" t="s">
        <v>533</v>
      </c>
      <c r="C8" s="605"/>
      <c r="D8" s="223">
        <v>30</v>
      </c>
      <c r="E8" s="43" t="s">
        <v>47</v>
      </c>
      <c r="F8" s="8">
        <v>2</v>
      </c>
      <c r="G8" s="8"/>
      <c r="H8" s="8">
        <v>2</v>
      </c>
      <c r="I8" s="8"/>
      <c r="J8" s="8"/>
      <c r="K8" s="9">
        <v>7</v>
      </c>
      <c r="N8" s="54" t="s">
        <v>714</v>
      </c>
      <c r="O8" s="15"/>
      <c r="P8" s="780">
        <v>0.2</v>
      </c>
      <c r="Q8" s="786" t="s">
        <v>716</v>
      </c>
      <c r="R8" s="533"/>
      <c r="S8" s="484" t="b">
        <v>0</v>
      </c>
      <c r="T8" s="484" t="str">
        <f>IF(S8=TRUE,"TRUE",IF(R8=1,"TRUE","FLASE"))</f>
        <v>FLASE</v>
      </c>
    </row>
    <row r="9" spans="2:11" ht="14.25" thickBot="1">
      <c r="B9" s="235" t="s">
        <v>536</v>
      </c>
      <c r="C9" s="606"/>
      <c r="D9" s="9">
        <v>1</v>
      </c>
      <c r="E9" s="43" t="s">
        <v>48</v>
      </c>
      <c r="F9" s="8"/>
      <c r="G9" s="8">
        <v>7</v>
      </c>
      <c r="H9" s="8">
        <v>7</v>
      </c>
      <c r="I9" s="8">
        <v>7</v>
      </c>
      <c r="J9" s="8">
        <v>7</v>
      </c>
      <c r="K9" s="9"/>
    </row>
    <row r="10" spans="2:20" ht="14.25" thickBot="1">
      <c r="B10" s="236" t="s">
        <v>537</v>
      </c>
      <c r="C10" s="600"/>
      <c r="D10" s="9">
        <v>30</v>
      </c>
      <c r="E10" s="43" t="s">
        <v>49</v>
      </c>
      <c r="F10" s="8"/>
      <c r="G10" s="8"/>
      <c r="H10" s="8">
        <v>10</v>
      </c>
      <c r="I10" s="8"/>
      <c r="J10" s="8"/>
      <c r="K10" s="9"/>
      <c r="O10" s="977" t="s">
        <v>539</v>
      </c>
      <c r="P10" s="978"/>
      <c r="Q10" s="978"/>
      <c r="R10" s="978"/>
      <c r="S10" s="978"/>
      <c r="T10" s="979"/>
    </row>
    <row r="11" spans="2:20" ht="14.25" thickBot="1">
      <c r="B11" s="235" t="s">
        <v>541</v>
      </c>
      <c r="C11" s="787"/>
      <c r="D11" s="9">
        <v>1</v>
      </c>
      <c r="E11" s="43" t="s">
        <v>390</v>
      </c>
      <c r="F11" s="8"/>
      <c r="G11" s="8">
        <v>25</v>
      </c>
      <c r="H11" s="8">
        <v>5</v>
      </c>
      <c r="I11" s="8"/>
      <c r="J11" s="8"/>
      <c r="K11" s="9">
        <v>11</v>
      </c>
      <c r="O11" s="152" t="s">
        <v>223</v>
      </c>
      <c r="P11" s="227">
        <f>D8</f>
        <v>30</v>
      </c>
      <c r="Q11" s="226" t="s">
        <v>51</v>
      </c>
      <c r="R11" s="228">
        <f>(135+2*P11)/100</f>
        <v>1.95</v>
      </c>
      <c r="S11" s="229" t="s">
        <v>130</v>
      </c>
      <c r="T11" s="230">
        <v>500</v>
      </c>
    </row>
    <row r="12" spans="2:22" ht="14.25" thickBot="1">
      <c r="B12" s="235" t="s">
        <v>725</v>
      </c>
      <c r="C12" s="44"/>
      <c r="D12" s="9">
        <v>30</v>
      </c>
      <c r="E12" s="43" t="s">
        <v>339</v>
      </c>
      <c r="F12" s="8"/>
      <c r="G12" s="8"/>
      <c r="H12" s="8"/>
      <c r="I12" s="8"/>
      <c r="J12" s="8"/>
      <c r="K12" s="9"/>
      <c r="O12" s="988" t="s">
        <v>107</v>
      </c>
      <c r="P12" s="77" t="s">
        <v>56</v>
      </c>
      <c r="Q12" s="554">
        <f>MIN(INT(($R$4*R11)*(1+$B$33+$E$33+$B$51)*(IF($T$8="true",$P$8,0)+$A$25+$A$18)),ReadMe!$M$94)</f>
        <v>13142</v>
      </c>
      <c r="R12" s="975" t="s">
        <v>406</v>
      </c>
      <c r="S12" s="194" t="s">
        <v>56</v>
      </c>
      <c r="T12" s="160">
        <f>MIN(INT(Q12*$E$41),ReadMe!$M$94)</f>
        <v>17084</v>
      </c>
      <c r="V12" s="248"/>
    </row>
    <row r="13" spans="2:29" ht="14.25" thickBot="1">
      <c r="B13" s="679" t="s">
        <v>726</v>
      </c>
      <c r="C13" s="15"/>
      <c r="D13" s="247">
        <v>20</v>
      </c>
      <c r="E13" s="43" t="s">
        <v>389</v>
      </c>
      <c r="F13" s="8"/>
      <c r="G13" s="8"/>
      <c r="H13" s="8"/>
      <c r="I13" s="8"/>
      <c r="J13" s="8"/>
      <c r="K13" s="9"/>
      <c r="O13" s="1051"/>
      <c r="P13" s="44" t="s">
        <v>57</v>
      </c>
      <c r="Q13" s="555">
        <f>INT((Q12+Q14)/2)</f>
        <v>16680</v>
      </c>
      <c r="R13" s="1069"/>
      <c r="S13" s="80" t="s">
        <v>57</v>
      </c>
      <c r="T13" s="161">
        <f>INT((T12+T14)/2)</f>
        <v>23706</v>
      </c>
      <c r="V13" s="421">
        <f>(R15/(IF($T$8="true",$P$8,0)+$A$25+$A$18))*(IF($T$8="true",$P$8,0)+$A$18+$A$26)</f>
        <v>18231.155555555557</v>
      </c>
      <c r="AB13" s="1270" t="s">
        <v>784</v>
      </c>
      <c r="AC13" s="1271"/>
    </row>
    <row r="14" spans="2:29" ht="14.25" thickBot="1">
      <c r="B14" s="244" t="s">
        <v>549</v>
      </c>
      <c r="C14" s="607"/>
      <c r="D14" s="1343">
        <v>20</v>
      </c>
      <c r="E14" s="43" t="s">
        <v>59</v>
      </c>
      <c r="F14" s="8"/>
      <c r="G14" s="8">
        <v>10</v>
      </c>
      <c r="H14" s="8">
        <v>10</v>
      </c>
      <c r="I14" s="8"/>
      <c r="J14" s="8"/>
      <c r="K14" s="9">
        <v>1</v>
      </c>
      <c r="O14" s="989"/>
      <c r="P14" s="15" t="s">
        <v>58</v>
      </c>
      <c r="Q14" s="556">
        <f>MIN(INT(($T$4*R11)*(1+$B$33+$E$33+$B$51)*(IF($T$8="true",$P$8,0)+$A$25+$A$18)),ReadMe!$M$94)</f>
        <v>20219</v>
      </c>
      <c r="R14" s="1070"/>
      <c r="S14" s="87" t="s">
        <v>58</v>
      </c>
      <c r="T14" s="162">
        <f>MIN(INT(Q14*$F$41),ReadMe!$M$94)</f>
        <v>30328</v>
      </c>
      <c r="V14" s="1270" t="s">
        <v>784</v>
      </c>
      <c r="W14" s="1271"/>
      <c r="Y14" s="1270" t="s">
        <v>784</v>
      </c>
      <c r="Z14" s="1271"/>
      <c r="AB14" s="1568" t="s">
        <v>809</v>
      </c>
      <c r="AC14" s="1569"/>
    </row>
    <row r="15" spans="1:29" ht="14.25" thickBot="1">
      <c r="A15" s="421"/>
      <c r="B15" s="330" t="s">
        <v>550</v>
      </c>
      <c r="C15" s="331"/>
      <c r="D15" s="1344"/>
      <c r="E15" s="43" t="s">
        <v>60</v>
      </c>
      <c r="F15" s="8">
        <v>15</v>
      </c>
      <c r="G15" s="8"/>
      <c r="H15" s="8"/>
      <c r="I15" s="8"/>
      <c r="J15" s="8"/>
      <c r="K15" s="9"/>
      <c r="O15" s="1065" t="s">
        <v>127</v>
      </c>
      <c r="P15" s="1066"/>
      <c r="Q15" s="1391"/>
      <c r="R15" s="1598">
        <f>INT(Q13*(1-$G$41)+T13*$G$41)</f>
        <v>18436</v>
      </c>
      <c r="S15" s="1027"/>
      <c r="T15" s="1028"/>
      <c r="V15" s="1568" t="s">
        <v>783</v>
      </c>
      <c r="W15" s="1569"/>
      <c r="Y15" s="1568" t="s">
        <v>808</v>
      </c>
      <c r="Z15" s="1569"/>
      <c r="AB15" s="1602" t="s">
        <v>783</v>
      </c>
      <c r="AC15" s="1603"/>
    </row>
    <row r="16" spans="1:29" ht="14.25" thickBot="1">
      <c r="A16" s="421" t="b">
        <v>1</v>
      </c>
      <c r="B16" s="1599" t="s">
        <v>551</v>
      </c>
      <c r="C16" s="1600"/>
      <c r="D16" s="158">
        <f>D14/100</f>
        <v>0.2</v>
      </c>
      <c r="E16" s="43" t="s">
        <v>61</v>
      </c>
      <c r="F16" s="8">
        <v>4</v>
      </c>
      <c r="G16" s="8">
        <v>8</v>
      </c>
      <c r="H16" s="8"/>
      <c r="I16" s="8"/>
      <c r="J16" s="8"/>
      <c r="K16" s="9"/>
      <c r="O16" s="1205" t="s">
        <v>67</v>
      </c>
      <c r="P16" s="1254"/>
      <c r="Q16" s="1254"/>
      <c r="R16" s="1595">
        <f>V13*T11*$G$46</f>
        <v>9115577.777777778</v>
      </c>
      <c r="S16" s="1298"/>
      <c r="T16" s="1299"/>
      <c r="V16" s="1601">
        <f>INT((R16-40*V13)+$S$73*4)</f>
        <v>13458595</v>
      </c>
      <c r="W16" s="1527"/>
      <c r="Y16" s="1601">
        <f>INT((R16-6*V13+S34*6)+$P$69*6)</f>
        <v>9550726</v>
      </c>
      <c r="Z16" s="1527"/>
      <c r="AB16" s="1604">
        <f>INT(V16-2*R15+2*S34+P69*6)</f>
        <v>13728011</v>
      </c>
      <c r="AC16" s="1605"/>
    </row>
    <row r="17" spans="1:11" ht="14.25" thickBot="1">
      <c r="A17" s="421" t="str">
        <f>IF(A16=TRUE,"TRUE",IF(D17=1,"TRUE","FLASE"))</f>
        <v>TRUE</v>
      </c>
      <c r="B17" s="14" t="s">
        <v>499</v>
      </c>
      <c r="C17" s="15"/>
      <c r="D17" s="533"/>
      <c r="E17" s="43" t="s">
        <v>1059</v>
      </c>
      <c r="F17" s="8"/>
      <c r="G17" s="8">
        <v>3</v>
      </c>
      <c r="H17" s="8">
        <v>3</v>
      </c>
      <c r="I17" s="8">
        <v>3</v>
      </c>
      <c r="J17" s="8">
        <v>3</v>
      </c>
      <c r="K17" s="9"/>
    </row>
    <row r="18" spans="1:20" ht="14.25" thickBot="1">
      <c r="A18" s="711">
        <f>IF(A17="true",D16,0)</f>
        <v>0.2</v>
      </c>
      <c r="B18" s="141"/>
      <c r="C18" s="58"/>
      <c r="D18" s="144"/>
      <c r="E18" s="43" t="s">
        <v>1059</v>
      </c>
      <c r="F18" s="8">
        <v>1</v>
      </c>
      <c r="G18" s="8">
        <v>1</v>
      </c>
      <c r="H18" s="8">
        <v>1</v>
      </c>
      <c r="I18" s="8">
        <v>1</v>
      </c>
      <c r="J18" s="8">
        <v>1</v>
      </c>
      <c r="K18" s="9"/>
      <c r="O18" s="977" t="s">
        <v>540</v>
      </c>
      <c r="P18" s="978"/>
      <c r="Q18" s="978"/>
      <c r="R18" s="978"/>
      <c r="S18" s="17" t="s">
        <v>1096</v>
      </c>
      <c r="T18" s="76">
        <f>(5+ROUNDUP(P19/2,0))/100</f>
        <v>0.2</v>
      </c>
    </row>
    <row r="19" spans="1:20" ht="14.25" thickBot="1">
      <c r="A19" s="711"/>
      <c r="B19" s="145"/>
      <c r="C19" s="592"/>
      <c r="D19" s="146"/>
      <c r="E19" s="43" t="s">
        <v>1059</v>
      </c>
      <c r="F19" s="8">
        <v>1</v>
      </c>
      <c r="G19" s="8">
        <v>1</v>
      </c>
      <c r="H19" s="8">
        <v>1</v>
      </c>
      <c r="I19" s="8">
        <v>1</v>
      </c>
      <c r="J19" s="8">
        <v>1</v>
      </c>
      <c r="K19" s="9"/>
      <c r="O19" s="152" t="s">
        <v>223</v>
      </c>
      <c r="P19" s="227">
        <f>D6</f>
        <v>30</v>
      </c>
      <c r="Q19" s="226" t="s">
        <v>51</v>
      </c>
      <c r="R19" s="233">
        <f>(210+3*P19)/100</f>
        <v>3</v>
      </c>
      <c r="S19" s="52" t="s">
        <v>66</v>
      </c>
      <c r="T19" s="74">
        <f>IF($D$5-$K$37&lt;=4,100,95)</f>
        <v>95</v>
      </c>
    </row>
    <row r="20" spans="1:20" ht="13.5">
      <c r="A20" s="711"/>
      <c r="B20" s="1" t="s">
        <v>547</v>
      </c>
      <c r="C20" s="3"/>
      <c r="D20" s="142">
        <v>10</v>
      </c>
      <c r="E20" s="43" t="s">
        <v>1059</v>
      </c>
      <c r="F20" s="8"/>
      <c r="G20" s="8"/>
      <c r="H20" s="8"/>
      <c r="I20" s="8"/>
      <c r="J20" s="8"/>
      <c r="K20" s="9"/>
      <c r="O20" s="988" t="s">
        <v>107</v>
      </c>
      <c r="P20" s="77" t="s">
        <v>56</v>
      </c>
      <c r="Q20" s="554">
        <f>MIN(INT(($R$4*R19)*(1+$B$33+$E$33+$B$51)*(IF($T$8="true",$P$8,0)+$A$25+$A$18)),ReadMe!$M$94)</f>
        <v>20219</v>
      </c>
      <c r="R20" s="975" t="s">
        <v>406</v>
      </c>
      <c r="S20" s="712" t="s">
        <v>56</v>
      </c>
      <c r="T20" s="663">
        <f>MIN(INT(Q20*$E$41),ReadMe!$M$94)</f>
        <v>26284</v>
      </c>
    </row>
    <row r="21" spans="1:20" ht="13.5">
      <c r="A21" s="711"/>
      <c r="B21" s="667" t="s">
        <v>723</v>
      </c>
      <c r="C21" s="1608">
        <f>5000*D20+(D2-120)*2000</f>
        <v>110000</v>
      </c>
      <c r="D21" s="1609"/>
      <c r="E21" s="43" t="s">
        <v>970</v>
      </c>
      <c r="F21" s="8"/>
      <c r="G21" s="8">
        <v>2</v>
      </c>
      <c r="H21" s="8">
        <v>2</v>
      </c>
      <c r="I21" s="8">
        <v>2</v>
      </c>
      <c r="J21" s="8">
        <v>2</v>
      </c>
      <c r="K21" s="9"/>
      <c r="O21" s="1051"/>
      <c r="P21" s="44" t="s">
        <v>57</v>
      </c>
      <c r="Q21" s="555">
        <f>INT((Q20+Q22)/2)</f>
        <v>25662</v>
      </c>
      <c r="R21" s="1069"/>
      <c r="S21" s="80" t="s">
        <v>57</v>
      </c>
      <c r="T21" s="161">
        <f>INT((T20+T22)/2)</f>
        <v>36471</v>
      </c>
    </row>
    <row r="22" spans="1:20" ht="14.25" thickBot="1">
      <c r="A22" s="711"/>
      <c r="B22" s="989" t="s">
        <v>548</v>
      </c>
      <c r="C22" s="1378"/>
      <c r="D22" s="16">
        <f>90-6*D20</f>
        <v>30</v>
      </c>
      <c r="E22" s="43" t="s">
        <v>972</v>
      </c>
      <c r="F22" s="8"/>
      <c r="G22" s="8">
        <v>3</v>
      </c>
      <c r="H22" s="8">
        <v>3</v>
      </c>
      <c r="I22" s="8">
        <v>3</v>
      </c>
      <c r="J22" s="8">
        <v>3</v>
      </c>
      <c r="K22" s="9"/>
      <c r="O22" s="989"/>
      <c r="P22" s="15" t="s">
        <v>58</v>
      </c>
      <c r="Q22" s="556">
        <f>MIN(INT(($T$4*R19)*(1+$B$33+$E$33+$B$51)*(IF($T$8="true",$P$8,0)+$A$25+$A$18)),ReadMe!$M$94)</f>
        <v>31106</v>
      </c>
      <c r="R22" s="1070"/>
      <c r="S22" s="87" t="s">
        <v>58</v>
      </c>
      <c r="T22" s="162">
        <f>MIN(INT(Q22*$F$41),ReadMe!$M$94)</f>
        <v>46659</v>
      </c>
    </row>
    <row r="23" spans="1:29" ht="14.25" thickBot="1">
      <c r="A23" s="421" t="b">
        <v>1</v>
      </c>
      <c r="B23" s="781" t="s">
        <v>101</v>
      </c>
      <c r="C23" s="11"/>
      <c r="D23" s="223">
        <v>10</v>
      </c>
      <c r="E23" s="43" t="s">
        <v>1210</v>
      </c>
      <c r="F23" s="8"/>
      <c r="G23" s="8"/>
      <c r="H23" s="8"/>
      <c r="I23" s="8"/>
      <c r="J23" s="8"/>
      <c r="K23" s="9"/>
      <c r="O23" s="1339" t="s">
        <v>102</v>
      </c>
      <c r="P23" s="1340"/>
      <c r="Q23" s="1592"/>
      <c r="R23" s="3" t="s">
        <v>56</v>
      </c>
      <c r="S23" s="1373">
        <f>Q20*5</f>
        <v>101095</v>
      </c>
      <c r="T23" s="1374"/>
      <c r="V23" s="421">
        <f>(S24/(IF($T$8="true",$P$8,0)+$A$25+$A$18))*(IF($T$8="true",$P$8,0)+$A$18+$A$26)</f>
        <v>150934.11111111112</v>
      </c>
      <c r="AB23" s="1270" t="s">
        <v>785</v>
      </c>
      <c r="AC23" s="1271"/>
    </row>
    <row r="24" spans="1:29" ht="14.25" thickBot="1">
      <c r="A24" s="421" t="str">
        <f>IF(A23=TRUE,"TRUE",IF(D24=1,"TRUE","FLASE"))</f>
        <v>TRUE</v>
      </c>
      <c r="B24" s="14" t="s">
        <v>499</v>
      </c>
      <c r="C24" s="15"/>
      <c r="D24" s="533"/>
      <c r="E24" s="43" t="s">
        <v>1062</v>
      </c>
      <c r="F24" s="8"/>
      <c r="G24" s="8"/>
      <c r="H24" s="8"/>
      <c r="I24" s="8"/>
      <c r="J24" s="8"/>
      <c r="K24" s="9"/>
      <c r="O24" s="1341"/>
      <c r="P24" s="1342"/>
      <c r="Q24" s="1593"/>
      <c r="R24" s="280" t="s">
        <v>140</v>
      </c>
      <c r="S24" s="1596">
        <f>INT(Q21*(1-($G$41+$T$18))+T21*($G$41+T18))*5</f>
        <v>152630</v>
      </c>
      <c r="T24" s="1597"/>
      <c r="V24" s="1270" t="s">
        <v>785</v>
      </c>
      <c r="W24" s="1271"/>
      <c r="Y24" s="1270" t="s">
        <v>785</v>
      </c>
      <c r="Z24" s="1271"/>
      <c r="AB24" s="1568" t="s">
        <v>809</v>
      </c>
      <c r="AC24" s="1569"/>
    </row>
    <row r="25" spans="1:29" ht="14.25" thickBot="1">
      <c r="A25" s="421">
        <f>IF(A24="true",IF(D23&gt;0,1+(5+D23)/100,1),1)</f>
        <v>1.15</v>
      </c>
      <c r="B25" s="1205" t="s">
        <v>542</v>
      </c>
      <c r="C25" s="1206"/>
      <c r="D25" s="70">
        <v>18</v>
      </c>
      <c r="E25" s="7" t="s">
        <v>823</v>
      </c>
      <c r="F25" s="8">
        <v>20</v>
      </c>
      <c r="G25" s="8"/>
      <c r="H25" s="8"/>
      <c r="I25" s="8"/>
      <c r="J25" s="8"/>
      <c r="K25" s="9"/>
      <c r="O25" s="1106"/>
      <c r="P25" s="1509"/>
      <c r="Q25" s="1594"/>
      <c r="R25" s="15" t="s">
        <v>58</v>
      </c>
      <c r="S25" s="1378">
        <f>T22*5</f>
        <v>233295</v>
      </c>
      <c r="T25" s="1379"/>
      <c r="V25" s="1568" t="s">
        <v>783</v>
      </c>
      <c r="W25" s="1569"/>
      <c r="Y25" s="1568" t="s">
        <v>808</v>
      </c>
      <c r="Z25" s="1569"/>
      <c r="AB25" s="1602" t="s">
        <v>783</v>
      </c>
      <c r="AC25" s="1603"/>
    </row>
    <row r="26" spans="1:29" ht="14.25" thickBot="1">
      <c r="A26" s="421">
        <f>IF(A24="true",IF(D23&gt;0,MIN((((15+3*$D$23)/50)*(5+$D$23))/100+1,1.17),1),1)</f>
        <v>1.135</v>
      </c>
      <c r="B26" s="1245" t="s">
        <v>222</v>
      </c>
      <c r="C26" s="1246"/>
      <c r="D26" s="2">
        <v>9</v>
      </c>
      <c r="E26" s="235" t="s">
        <v>975</v>
      </c>
      <c r="F26" s="8">
        <v>20</v>
      </c>
      <c r="G26" s="41">
        <f>ROUNDDOWN(G3*D27%,0)</f>
        <v>2</v>
      </c>
      <c r="H26" s="41">
        <f>ROUNDDOWN(H3*D27%,0)</f>
        <v>36</v>
      </c>
      <c r="I26" s="41">
        <f>ROUNDDOWN(I3*D27%,0)</f>
        <v>0</v>
      </c>
      <c r="J26" s="41">
        <f>ROUNDDOWN(J3*D27%,0)</f>
        <v>0</v>
      </c>
      <c r="K26" s="9">
        <v>40</v>
      </c>
      <c r="O26" s="1276" t="s">
        <v>67</v>
      </c>
      <c r="P26" s="1336"/>
      <c r="Q26" s="1336"/>
      <c r="R26" s="1595">
        <f>V23*T19*$G$46</f>
        <v>14338740.555555556</v>
      </c>
      <c r="S26" s="1298"/>
      <c r="T26" s="1299"/>
      <c r="V26" s="1601">
        <f>INT((R26-T19/60*V23*4)+$S$73*4)</f>
        <v>18455088</v>
      </c>
      <c r="W26" s="1527"/>
      <c r="Y26" s="1601">
        <f>R26+P69*6</f>
        <v>14525904.555555556</v>
      </c>
      <c r="Z26" s="1527"/>
      <c r="AB26" s="1601">
        <f>V26+P69*6</f>
        <v>18642252</v>
      </c>
      <c r="AC26" s="1527"/>
    </row>
    <row r="27" spans="2:11" ht="14.25" thickBot="1">
      <c r="B27" s="14" t="s">
        <v>62</v>
      </c>
      <c r="C27" s="571"/>
      <c r="D27" s="47">
        <f>ROUNDUP(D26/2,0)</f>
        <v>5</v>
      </c>
      <c r="E27" s="7" t="s">
        <v>63</v>
      </c>
      <c r="F27" s="44">
        <f>D28</f>
        <v>0</v>
      </c>
      <c r="G27" s="44">
        <f>SUM(G4:G25)</f>
        <v>70</v>
      </c>
      <c r="H27" s="44">
        <f>SUM(H4:H25)</f>
        <v>78</v>
      </c>
      <c r="I27" s="44">
        <f>SUM(I4:I25)</f>
        <v>27</v>
      </c>
      <c r="J27" s="44">
        <f>SUM(J4:J25)</f>
        <v>27</v>
      </c>
      <c r="K27" s="45">
        <f>SUM(K3:K26)+D28</f>
        <v>69</v>
      </c>
    </row>
    <row r="28" spans="2:20" ht="14.25" thickBot="1">
      <c r="B28" s="17" t="s">
        <v>1024</v>
      </c>
      <c r="C28" s="210"/>
      <c r="D28" s="332">
        <v>0</v>
      </c>
      <c r="E28" s="14" t="s">
        <v>55</v>
      </c>
      <c r="F28" s="49">
        <f>D25+SUM(F4:F27)</f>
        <v>181</v>
      </c>
      <c r="G28" s="579">
        <f>INT((G3+G26+G27)*(1+G31))</f>
        <v>120</v>
      </c>
      <c r="H28" s="579">
        <f>INT((H3+H26+H27)*(1+H31))</f>
        <v>913</v>
      </c>
      <c r="I28" s="579">
        <f>INT((I3+I26+I27)*(1+I31))</f>
        <v>31</v>
      </c>
      <c r="J28" s="579">
        <f>INT((J3+J26+J27)*(1+J31))</f>
        <v>31</v>
      </c>
      <c r="K28" s="580">
        <f>($J$28+$H$28*1.2+K27)*(1+K31)</f>
        <v>1195.6</v>
      </c>
      <c r="O28" s="977" t="s">
        <v>804</v>
      </c>
      <c r="P28" s="978"/>
      <c r="Q28" s="978"/>
      <c r="R28" s="978"/>
      <c r="S28" s="978"/>
      <c r="T28" s="979"/>
    </row>
    <row r="29" spans="2:20" ht="14.25" thickBot="1">
      <c r="B29" s="1068" t="s">
        <v>645</v>
      </c>
      <c r="C29" s="1036"/>
      <c r="D29" s="1036"/>
      <c r="E29" s="1036"/>
      <c r="F29" s="1036"/>
      <c r="G29" s="1036"/>
      <c r="H29" s="1036"/>
      <c r="I29" s="1036"/>
      <c r="J29" s="1036"/>
      <c r="K29" s="1037"/>
      <c r="O29" s="152" t="s">
        <v>223</v>
      </c>
      <c r="P29" s="227">
        <v>20</v>
      </c>
      <c r="Q29" s="226" t="s">
        <v>51</v>
      </c>
      <c r="R29" s="233">
        <f>(170+2*P29)/100</f>
        <v>2.1</v>
      </c>
      <c r="S29" s="52" t="s">
        <v>66</v>
      </c>
      <c r="T29" s="74">
        <f>IF($D$5-$K$37&lt;=4,91,86)</f>
        <v>86</v>
      </c>
    </row>
    <row r="30" spans="2:20" ht="13.5">
      <c r="B30" s="1085" t="s">
        <v>443</v>
      </c>
      <c r="C30" s="1086"/>
      <c r="D30" s="1087"/>
      <c r="E30" s="1038" t="s">
        <v>646</v>
      </c>
      <c r="F30" s="1039"/>
      <c r="G30" s="1" t="s">
        <v>650</v>
      </c>
      <c r="H30" s="3" t="s">
        <v>649</v>
      </c>
      <c r="I30" s="3" t="s">
        <v>648</v>
      </c>
      <c r="J30" s="3" t="s">
        <v>647</v>
      </c>
      <c r="K30" s="4" t="s">
        <v>651</v>
      </c>
      <c r="O30" s="988" t="s">
        <v>107</v>
      </c>
      <c r="P30" s="77" t="s">
        <v>56</v>
      </c>
      <c r="Q30" s="554">
        <f>MIN(INT(($R$4*R29)*(1+$B$33+$E$33+$B$51)*(IF($T$8="true",$P$8,0)+$A$25+$A$18)),ReadMe!$M$94)</f>
        <v>14153</v>
      </c>
      <c r="R30" s="975" t="s">
        <v>406</v>
      </c>
      <c r="S30" s="712" t="s">
        <v>56</v>
      </c>
      <c r="T30" s="663">
        <f>MIN(INT(Q30*$E$41),ReadMe!$M$94)</f>
        <v>18398</v>
      </c>
    </row>
    <row r="31" spans="2:20" ht="14.25" thickBot="1">
      <c r="B31" s="1091">
        <v>0</v>
      </c>
      <c r="C31" s="1132"/>
      <c r="D31" s="1093"/>
      <c r="E31" s="1040">
        <v>0</v>
      </c>
      <c r="F31" s="1032"/>
      <c r="G31" s="575">
        <v>0</v>
      </c>
      <c r="H31" s="576">
        <v>0.09</v>
      </c>
      <c r="I31" s="576">
        <v>0</v>
      </c>
      <c r="J31" s="576">
        <v>0</v>
      </c>
      <c r="K31" s="577">
        <v>0</v>
      </c>
      <c r="O31" s="1051"/>
      <c r="P31" s="44" t="s">
        <v>57</v>
      </c>
      <c r="Q31" s="555">
        <f>INT((Q30+Q32)/2)</f>
        <v>17963</v>
      </c>
      <c r="R31" s="1069"/>
      <c r="S31" s="80" t="s">
        <v>57</v>
      </c>
      <c r="T31" s="161">
        <f>INT((T30+T32)/2)</f>
        <v>25529</v>
      </c>
    </row>
    <row r="32" spans="2:20" ht="14.25" thickBot="1">
      <c r="B32" s="1088" t="s">
        <v>644</v>
      </c>
      <c r="C32" s="1089"/>
      <c r="D32" s="1090"/>
      <c r="E32" s="984" t="s">
        <v>551</v>
      </c>
      <c r="F32" s="976"/>
      <c r="O32" s="989"/>
      <c r="P32" s="15" t="s">
        <v>58</v>
      </c>
      <c r="Q32" s="556">
        <f>MIN(INT(($T$4*R29)*(1+$B$33+$E$33+$B$51)*(IF($T$8="true",$P$8,0)+$A$25+$A$18)),ReadMe!$M$94)</f>
        <v>21774</v>
      </c>
      <c r="R32" s="1070"/>
      <c r="S32" s="87" t="s">
        <v>58</v>
      </c>
      <c r="T32" s="162">
        <f>MIN(INT(Q32*$F$41),ReadMe!$M$94)</f>
        <v>32661</v>
      </c>
    </row>
    <row r="33" spans="2:29" ht="14.25" thickBot="1">
      <c r="B33" s="1091">
        <v>0</v>
      </c>
      <c r="C33" s="1092"/>
      <c r="D33" s="1093"/>
      <c r="E33" s="1040">
        <v>0</v>
      </c>
      <c r="F33" s="1032"/>
      <c r="O33" s="1339" t="s">
        <v>805</v>
      </c>
      <c r="P33" s="1340"/>
      <c r="Q33" s="1592"/>
      <c r="R33" s="3" t="s">
        <v>56</v>
      </c>
      <c r="S33" s="1373">
        <f>Q30*3</f>
        <v>42459</v>
      </c>
      <c r="T33" s="1374"/>
      <c r="U33" s="130"/>
      <c r="V33" s="421">
        <f>(S34/(IF($T$8="true",$P$8,0)+$A$25+$A$18))*(IF($T$8="true",$P$8,0)+$A$18+$A$26)</f>
        <v>58900.20000000001</v>
      </c>
      <c r="AB33" s="1270" t="s">
        <v>806</v>
      </c>
      <c r="AC33" s="1271"/>
    </row>
    <row r="34" spans="15:29" ht="14.25" thickBot="1">
      <c r="O34" s="1341"/>
      <c r="P34" s="1342"/>
      <c r="Q34" s="1593"/>
      <c r="R34" s="280" t="s">
        <v>140</v>
      </c>
      <c r="S34" s="1596">
        <f>INT(Q31*(1-$G$41)+T31*$G$41)*3</f>
        <v>59562</v>
      </c>
      <c r="T34" s="1597"/>
      <c r="U34" s="130"/>
      <c r="V34" s="1270" t="s">
        <v>806</v>
      </c>
      <c r="W34" s="1271"/>
      <c r="Y34" s="1270" t="s">
        <v>806</v>
      </c>
      <c r="Z34" s="1271"/>
      <c r="AB34" s="1568" t="s">
        <v>810</v>
      </c>
      <c r="AC34" s="1569"/>
    </row>
    <row r="35" spans="2:29" ht="14.25" thickBot="1">
      <c r="B35" s="1047" t="s">
        <v>1120</v>
      </c>
      <c r="C35" s="1048"/>
      <c r="D35" s="1048"/>
      <c r="E35" s="535" t="s">
        <v>56</v>
      </c>
      <c r="F35" s="19" t="s">
        <v>58</v>
      </c>
      <c r="G35" s="536" t="s">
        <v>750</v>
      </c>
      <c r="I35" s="1041" t="s">
        <v>218</v>
      </c>
      <c r="J35" s="1042"/>
      <c r="K35" s="1043"/>
      <c r="O35" s="1106"/>
      <c r="P35" s="1509"/>
      <c r="Q35" s="1594"/>
      <c r="R35" s="15" t="s">
        <v>58</v>
      </c>
      <c r="S35" s="1378">
        <f>T32*3</f>
        <v>97983</v>
      </c>
      <c r="T35" s="1379"/>
      <c r="U35" s="61"/>
      <c r="V35" s="1568" t="s">
        <v>783</v>
      </c>
      <c r="W35" s="1569"/>
      <c r="Y35" s="1568" t="s">
        <v>808</v>
      </c>
      <c r="Z35" s="1569"/>
      <c r="AB35" s="1602" t="s">
        <v>783</v>
      </c>
      <c r="AC35" s="1603"/>
    </row>
    <row r="36" spans="2:29" ht="14.25" thickBot="1">
      <c r="B36" s="1133" t="s">
        <v>1122</v>
      </c>
      <c r="C36" s="1134"/>
      <c r="D36" s="1135"/>
      <c r="E36" s="36">
        <v>1.3</v>
      </c>
      <c r="F36" s="539">
        <v>1.5</v>
      </c>
      <c r="G36" s="260">
        <f>0.25+IF(T7="true",P7,0)</f>
        <v>0.25</v>
      </c>
      <c r="I36" s="1041" t="s">
        <v>220</v>
      </c>
      <c r="J36" s="1053"/>
      <c r="K36" s="1054"/>
      <c r="O36" s="1276" t="s">
        <v>67</v>
      </c>
      <c r="P36" s="1336"/>
      <c r="Q36" s="1336"/>
      <c r="R36" s="1595">
        <f>V33*T29*$G$46</f>
        <v>5065417.200000001</v>
      </c>
      <c r="S36" s="1298"/>
      <c r="T36" s="1299"/>
      <c r="U36" s="61"/>
      <c r="V36" s="1601">
        <f>INT((R36-T29/60*V33*4)+$S$73*4)</f>
        <v>9799986</v>
      </c>
      <c r="W36" s="1527"/>
      <c r="Y36" s="1601">
        <f>R36+P69*6</f>
        <v>5252581.200000001</v>
      </c>
      <c r="Z36" s="1527"/>
      <c r="AB36" s="1601">
        <f>V36+P69*6</f>
        <v>9987150</v>
      </c>
      <c r="AC36" s="1527"/>
    </row>
    <row r="37" spans="2:21" ht="14.25" thickBot="1">
      <c r="B37" s="1051" t="s">
        <v>1117</v>
      </c>
      <c r="C37" s="1052"/>
      <c r="D37" s="548">
        <v>0</v>
      </c>
      <c r="E37" s="538"/>
      <c r="F37" s="537">
        <f>D37/100</f>
        <v>0</v>
      </c>
      <c r="G37" s="543">
        <f>IF(D37=0,0,(5+ROUNDUP(D37/2,0))/100)</f>
        <v>0</v>
      </c>
      <c r="I37" s="871" t="s">
        <v>217</v>
      </c>
      <c r="J37" s="224"/>
      <c r="K37" s="247">
        <v>0</v>
      </c>
      <c r="U37" s="61"/>
    </row>
    <row r="38" spans="2:21" ht="14.25" thickBot="1">
      <c r="B38" s="1051" t="s">
        <v>1118</v>
      </c>
      <c r="C38" s="1052"/>
      <c r="D38" s="548">
        <v>0</v>
      </c>
      <c r="E38" s="538">
        <f>D38/100</f>
        <v>0</v>
      </c>
      <c r="F38" s="537"/>
      <c r="G38" s="543">
        <f>IF(D38=0,0,(5+ROUNDUP(D38/2,0))/100)</f>
        <v>0</v>
      </c>
      <c r="O38" s="977" t="s">
        <v>543</v>
      </c>
      <c r="P38" s="978"/>
      <c r="Q38" s="978"/>
      <c r="R38" s="978"/>
      <c r="S38" s="234" t="s">
        <v>138</v>
      </c>
      <c r="T38" s="93">
        <f>4+INT(P39/15)</f>
        <v>6</v>
      </c>
      <c r="U38" s="61"/>
    </row>
    <row r="39" spans="1:21" ht="14.25" thickBot="1">
      <c r="A39" s="421" t="b">
        <v>0</v>
      </c>
      <c r="B39" s="1051" t="s">
        <v>1119</v>
      </c>
      <c r="C39" s="1052"/>
      <c r="D39" s="544"/>
      <c r="E39" s="538"/>
      <c r="F39" s="537">
        <f>IF(H39="true",0.15,0)</f>
        <v>0</v>
      </c>
      <c r="G39" s="543">
        <f>IF(H39="true",0.1,0)</f>
        <v>0</v>
      </c>
      <c r="H39" s="421" t="str">
        <f>IF(A39=TRUE,"TRUE",IF(D39=1,"TRUE","FLASE"))</f>
        <v>FLASE</v>
      </c>
      <c r="I39" s="1058" t="s">
        <v>1163</v>
      </c>
      <c r="J39" s="1059"/>
      <c r="K39" s="896"/>
      <c r="L39" s="421" t="b">
        <v>0</v>
      </c>
      <c r="M39" s="514" t="str">
        <f>IF(L39=TRUE,"TRUE",IF(K39=1,"TRUE","FLASE"))</f>
        <v>FLASE</v>
      </c>
      <c r="O39" s="152" t="s">
        <v>223</v>
      </c>
      <c r="P39" s="227">
        <f>D7</f>
        <v>30</v>
      </c>
      <c r="Q39" s="226" t="s">
        <v>51</v>
      </c>
      <c r="R39" s="233">
        <f>(750+5*P39)/100</f>
        <v>9</v>
      </c>
      <c r="S39" s="52" t="s">
        <v>66</v>
      </c>
      <c r="T39" s="74">
        <f>IF($D$5-$K$37&lt;=4,81,77)</f>
        <v>77</v>
      </c>
      <c r="U39" s="61"/>
    </row>
    <row r="40" spans="2:21" ht="14.25" thickBot="1">
      <c r="B40" s="1055" t="s">
        <v>1121</v>
      </c>
      <c r="C40" s="1056"/>
      <c r="D40" s="1057"/>
      <c r="E40" s="545">
        <v>0</v>
      </c>
      <c r="F40" s="546">
        <v>0</v>
      </c>
      <c r="G40" s="547">
        <v>0</v>
      </c>
      <c r="I40" s="637" t="s">
        <v>787</v>
      </c>
      <c r="J40" s="893"/>
      <c r="K40" s="894">
        <v>0</v>
      </c>
      <c r="O40" s="988" t="s">
        <v>107</v>
      </c>
      <c r="P40" s="77" t="s">
        <v>56</v>
      </c>
      <c r="Q40" s="554">
        <f>MIN(INT(($R$4*R39)*(1+$B$33+$E$33+$B$51)*(IF($T$8="true",$P$8,0)+$A$25+$A$18)),ReadMe!$M$94)</f>
        <v>60658</v>
      </c>
      <c r="R40" s="975" t="s">
        <v>406</v>
      </c>
      <c r="S40" s="712" t="s">
        <v>56</v>
      </c>
      <c r="T40" s="663">
        <f>MIN(INT(Q40*$E$41),ReadMe!$M$94)</f>
        <v>78855</v>
      </c>
      <c r="U40" s="61"/>
    </row>
    <row r="41" spans="2:21" ht="14.25" thickBot="1">
      <c r="B41" s="1044" t="s">
        <v>1123</v>
      </c>
      <c r="C41" s="1045"/>
      <c r="D41" s="1046"/>
      <c r="E41" s="540">
        <f>E36+MAX(E38,E39)+E40</f>
        <v>1.3</v>
      </c>
      <c r="F41" s="541">
        <f>F36+MAX(F37,F39)+F40</f>
        <v>1.5</v>
      </c>
      <c r="G41" s="542">
        <f>G36+MAX(G37,G38,G39)+G40</f>
        <v>0.25</v>
      </c>
      <c r="I41" s="1060" t="s">
        <v>530</v>
      </c>
      <c r="J41" s="1061"/>
      <c r="K41" s="895">
        <f>IF(M39="true",IF(K40&gt;0,10+ROUNDUP(K40/3,0),11)/100,0)</f>
        <v>0</v>
      </c>
      <c r="L41" s="342"/>
      <c r="M41" s="342"/>
      <c r="O41" s="1051"/>
      <c r="P41" s="44" t="s">
        <v>57</v>
      </c>
      <c r="Q41" s="555">
        <f>INT((Q40+Q42)/2)</f>
        <v>76989</v>
      </c>
      <c r="R41" s="1069"/>
      <c r="S41" s="80" t="s">
        <v>57</v>
      </c>
      <c r="T41" s="161">
        <f>INT((T40+T42)/2)</f>
        <v>109417</v>
      </c>
      <c r="U41" s="61"/>
    </row>
    <row r="42" spans="2:21" ht="14.25" thickBot="1">
      <c r="B42" s="1136" t="s">
        <v>135</v>
      </c>
      <c r="C42" s="1137"/>
      <c r="D42" s="1138"/>
      <c r="E42" s="1011">
        <f>(($E$41+$F$41)/2-1)*$G$41+1</f>
        <v>1.1</v>
      </c>
      <c r="F42" s="1012"/>
      <c r="G42" s="1005"/>
      <c r="O42" s="989"/>
      <c r="P42" s="15" t="s">
        <v>58</v>
      </c>
      <c r="Q42" s="556">
        <f>MIN(INT(($T$4*R39)*(1+$B$33+$E$33+$B$51)*(IF($T$8="true",$P$8,0)+$A$25+$A$18)),ReadMe!$M$94)</f>
        <v>93320</v>
      </c>
      <c r="R42" s="1070"/>
      <c r="S42" s="87" t="s">
        <v>58</v>
      </c>
      <c r="T42" s="162">
        <f>MIN(INT(Q42*$F$41),ReadMe!$M$94)</f>
        <v>139980</v>
      </c>
      <c r="U42" s="99"/>
    </row>
    <row r="43" spans="9:20" ht="14.25" thickBot="1">
      <c r="I43" s="1075" t="s">
        <v>1188</v>
      </c>
      <c r="J43" s="1076"/>
      <c r="K43" s="1077"/>
      <c r="O43" s="1301" t="s">
        <v>127</v>
      </c>
      <c r="P43" s="1302"/>
      <c r="Q43" s="1302"/>
      <c r="R43" s="1598">
        <f>INT(Q41*(1-$G$41)+T41*$G$41)</f>
        <v>85096</v>
      </c>
      <c r="S43" s="1027"/>
      <c r="T43" s="1028"/>
    </row>
    <row r="44" spans="2:13" ht="14.25" thickBot="1">
      <c r="B44" s="1049" t="s">
        <v>416</v>
      </c>
      <c r="C44" s="1050"/>
      <c r="D44" s="566">
        <v>125</v>
      </c>
      <c r="E44" s="1147" t="s">
        <v>417</v>
      </c>
      <c r="F44" s="1148"/>
      <c r="G44" s="26">
        <f>IF(D2&gt;D44,0,$D$44-$D$2)</f>
        <v>0</v>
      </c>
      <c r="I44" s="439" t="s">
        <v>1189</v>
      </c>
      <c r="J44" s="572"/>
      <c r="K44" s="223">
        <v>0</v>
      </c>
      <c r="L44" s="342"/>
      <c r="M44" s="342"/>
    </row>
    <row r="45" spans="2:21" ht="14.25" thickBot="1">
      <c r="B45" s="1006" t="s">
        <v>450</v>
      </c>
      <c r="C45" s="1007"/>
      <c r="D45" s="9">
        <v>12</v>
      </c>
      <c r="E45" s="1006" t="s">
        <v>452</v>
      </c>
      <c r="F45" s="1007"/>
      <c r="G45" s="665">
        <f>IF(G44&gt;0,"-",D45)</f>
        <v>12</v>
      </c>
      <c r="I45" s="440" t="s">
        <v>1190</v>
      </c>
      <c r="J45" s="573"/>
      <c r="K45" s="441">
        <f>IF(K44&gt;0,(K44+10)/100,0)</f>
        <v>0</v>
      </c>
      <c r="O45" s="977" t="s">
        <v>544</v>
      </c>
      <c r="P45" s="978"/>
      <c r="Q45" s="978"/>
      <c r="R45" s="978"/>
      <c r="S45" s="978"/>
      <c r="T45" s="979"/>
      <c r="U45" s="68"/>
    </row>
    <row r="46" spans="2:21" ht="14.25" thickBot="1">
      <c r="B46" s="997" t="s">
        <v>415</v>
      </c>
      <c r="C46" s="998"/>
      <c r="D46" s="9">
        <v>0</v>
      </c>
      <c r="E46" s="1006" t="s">
        <v>451</v>
      </c>
      <c r="F46" s="1007"/>
      <c r="G46" s="543">
        <f>MAX((MIN(100+SQRT($K$28)-SQRT($D$45),100)-5*G44)/100,0)</f>
        <v>1</v>
      </c>
      <c r="O46" s="281" t="s">
        <v>223</v>
      </c>
      <c r="P46" s="227">
        <f>D9</f>
        <v>1</v>
      </c>
      <c r="Q46" s="273" t="s">
        <v>51</v>
      </c>
      <c r="R46" s="233">
        <f>(700+15*P46)/100</f>
        <v>7.15</v>
      </c>
      <c r="S46" s="420" t="s">
        <v>548</v>
      </c>
      <c r="T46" s="83">
        <f>40-2*INT(P46/3)</f>
        <v>40</v>
      </c>
      <c r="U46" s="58"/>
    </row>
    <row r="47" spans="2:20" ht="14.25" thickBot="1">
      <c r="B47" s="1008" t="s">
        <v>642</v>
      </c>
      <c r="C47" s="1009"/>
      <c r="D47" s="567">
        <v>0.25</v>
      </c>
      <c r="E47" s="1145" t="s">
        <v>643</v>
      </c>
      <c r="F47" s="1146"/>
      <c r="G47" s="29">
        <f>1-(D47*(1-K45))</f>
        <v>0.75</v>
      </c>
      <c r="I47" s="1003" t="s">
        <v>1110</v>
      </c>
      <c r="J47" s="1004"/>
      <c r="K47" s="996"/>
      <c r="L47" s="342"/>
      <c r="M47" s="168"/>
      <c r="O47" s="988" t="s">
        <v>107</v>
      </c>
      <c r="P47" s="77" t="s">
        <v>56</v>
      </c>
      <c r="Q47" s="554">
        <f>MIN(INT(($R$4*R46)*(1+$B$33+$E$33+$B$51)*(IF($T$8="true",$P$8,0)+$A$25+$A$18)),ReadMe!$M$94)</f>
        <v>48189</v>
      </c>
      <c r="R47" s="975" t="s">
        <v>406</v>
      </c>
      <c r="S47" s="712" t="s">
        <v>56</v>
      </c>
      <c r="T47" s="663">
        <f>MIN(INT(Q47*$E$41),ReadMe!$M$94)</f>
        <v>62645</v>
      </c>
    </row>
    <row r="48" spans="4:21" ht="14.25" thickBot="1">
      <c r="D48" s="421">
        <f>$D$46*(1-($K$45+$B$31))</f>
        <v>0</v>
      </c>
      <c r="I48" s="1083" t="s">
        <v>652</v>
      </c>
      <c r="J48" s="1084"/>
      <c r="K48" s="493"/>
      <c r="L48" s="514" t="b">
        <v>0</v>
      </c>
      <c r="M48" s="514" t="str">
        <f>IF(L48=TRUE,"TRUE",IF(K48=1,"TRUE","FLASE"))</f>
        <v>FLASE</v>
      </c>
      <c r="O48" s="1051"/>
      <c r="P48" s="44" t="s">
        <v>57</v>
      </c>
      <c r="Q48" s="555">
        <f>INT((Q47+Q49)/2)</f>
        <v>61163</v>
      </c>
      <c r="R48" s="1069"/>
      <c r="S48" s="80" t="s">
        <v>57</v>
      </c>
      <c r="T48" s="161">
        <f>INT((T47+T49)/2)</f>
        <v>86926</v>
      </c>
      <c r="U48" s="58"/>
    </row>
    <row r="49" spans="2:21" ht="14.25" thickBot="1">
      <c r="B49" s="1078" t="s">
        <v>749</v>
      </c>
      <c r="C49" s="1079"/>
      <c r="D49" s="1080"/>
      <c r="I49" s="994" t="s">
        <v>653</v>
      </c>
      <c r="J49" s="995"/>
      <c r="K49" s="494"/>
      <c r="L49" s="514" t="b">
        <v>0</v>
      </c>
      <c r="M49" s="514" t="str">
        <f>IF(L49=TRUE,"TRUE",IF(K49=1,"TRUE","FLASE"))</f>
        <v>FLASE</v>
      </c>
      <c r="O49" s="989"/>
      <c r="P49" s="15" t="s">
        <v>58</v>
      </c>
      <c r="Q49" s="556">
        <f>MIN(INT(($T$4*R46)*(1+$B$33+$E$33+$B$51)*(IF($T$8="true",$P$8,0)+$A$25+$A$18)),ReadMe!$M$94)</f>
        <v>74138</v>
      </c>
      <c r="R49" s="1070"/>
      <c r="S49" s="87" t="s">
        <v>58</v>
      </c>
      <c r="T49" s="162">
        <f>MIN(INT(Q49*$F$41),ReadMe!$M$94)</f>
        <v>111207</v>
      </c>
      <c r="U49" s="60"/>
    </row>
    <row r="50" spans="2:21" ht="14.25" thickBot="1">
      <c r="B50" s="999" t="s">
        <v>551</v>
      </c>
      <c r="C50" s="1000"/>
      <c r="D50" s="1001"/>
      <c r="I50" s="1002" t="s">
        <v>530</v>
      </c>
      <c r="J50" s="993"/>
      <c r="K50" s="225">
        <f>IF(M48="TRUE",1.04,IF(M49="TRUE",1.02,1))</f>
        <v>1</v>
      </c>
      <c r="L50" s="352"/>
      <c r="M50" s="352"/>
      <c r="O50" s="1301" t="s">
        <v>127</v>
      </c>
      <c r="P50" s="1302"/>
      <c r="Q50" s="1302"/>
      <c r="R50" s="1598">
        <f>INT(Q48*(1-$G$41)+T48*$G$41)</f>
        <v>67603</v>
      </c>
      <c r="S50" s="1027"/>
      <c r="T50" s="1028"/>
      <c r="U50" s="60"/>
    </row>
    <row r="51" spans="2:21" ht="14.25" thickBot="1">
      <c r="B51" s="1142">
        <v>0</v>
      </c>
      <c r="C51" s="1143"/>
      <c r="D51" s="1144"/>
      <c r="O51" s="58"/>
      <c r="P51" s="58"/>
      <c r="Q51" s="58"/>
      <c r="R51" s="58"/>
      <c r="S51" s="58"/>
      <c r="T51" s="58"/>
      <c r="U51" s="60"/>
    </row>
    <row r="52" spans="15:21" ht="14.25" thickBot="1">
      <c r="O52" s="977" t="s">
        <v>724</v>
      </c>
      <c r="P52" s="978"/>
      <c r="Q52" s="978"/>
      <c r="R52" s="979"/>
      <c r="S52" s="281" t="s">
        <v>223</v>
      </c>
      <c r="T52" s="790">
        <f>D13</f>
        <v>20</v>
      </c>
      <c r="U52" s="333"/>
    </row>
    <row r="53" spans="2:21" ht="14.25" thickBot="1">
      <c r="B53" s="1023" t="s">
        <v>64</v>
      </c>
      <c r="C53" s="1024"/>
      <c r="D53" s="1024"/>
      <c r="E53" s="1024"/>
      <c r="F53" s="1024"/>
      <c r="G53" s="1024"/>
      <c r="H53" s="1024"/>
      <c r="I53" s="1024"/>
      <c r="J53" s="1024"/>
      <c r="K53" s="1024"/>
      <c r="L53" s="1025"/>
      <c r="O53" s="658" t="s">
        <v>51</v>
      </c>
      <c r="P53" s="791">
        <f>((280+5*T52)+IF(D12=0,0,(20+2*D12)))/100</f>
        <v>4.6</v>
      </c>
      <c r="Q53" s="52" t="s">
        <v>727</v>
      </c>
      <c r="R53" s="75">
        <f>(40+D12+2*T52)/100</f>
        <v>1.1</v>
      </c>
      <c r="S53" s="788" t="s">
        <v>908</v>
      </c>
      <c r="T53" s="83">
        <f>4+ROUNDUP(T52/5,0)</f>
        <v>8</v>
      </c>
      <c r="U53" s="333"/>
    </row>
    <row r="54" spans="2:21" ht="13.5">
      <c r="B54" s="1017" t="s">
        <v>627</v>
      </c>
      <c r="C54" s="1015"/>
      <c r="D54" s="1013"/>
      <c r="E54" s="1013"/>
      <c r="F54" s="1013"/>
      <c r="G54" s="1013"/>
      <c r="H54" s="1013"/>
      <c r="I54" s="1013"/>
      <c r="J54" s="1013"/>
      <c r="K54" s="1013"/>
      <c r="L54" s="1010"/>
      <c r="O54" s="10" t="s">
        <v>326</v>
      </c>
      <c r="P54" s="11"/>
      <c r="Q54" s="789">
        <f>MIN(INT(P4*R53),ReadMe!$M$94)</f>
        <v>11265</v>
      </c>
      <c r="R54" s="327" t="s">
        <v>910</v>
      </c>
      <c r="S54" s="3"/>
      <c r="T54" s="727">
        <f>Q54*T53</f>
        <v>90120</v>
      </c>
      <c r="U54" s="333"/>
    </row>
    <row r="55" spans="2:21" ht="14.25" thickBot="1">
      <c r="B55" s="1017" t="s">
        <v>798</v>
      </c>
      <c r="C55" s="1015"/>
      <c r="D55" s="1013"/>
      <c r="E55" s="1013"/>
      <c r="F55" s="1013"/>
      <c r="G55" s="1013"/>
      <c r="H55" s="1013"/>
      <c r="I55" s="1013"/>
      <c r="J55" s="1013"/>
      <c r="K55" s="1013"/>
      <c r="L55" s="1010"/>
      <c r="O55" s="14" t="s">
        <v>911</v>
      </c>
      <c r="P55" s="15"/>
      <c r="Q55" s="728">
        <f>MIN(INT(Q54*1.5),ReadMe!$M$94)</f>
        <v>16897</v>
      </c>
      <c r="R55" s="54" t="s">
        <v>910</v>
      </c>
      <c r="S55" s="15"/>
      <c r="T55" s="728">
        <f>Q55*T53</f>
        <v>135176</v>
      </c>
      <c r="U55" s="333"/>
    </row>
    <row r="56" spans="2:21" ht="13.5">
      <c r="B56" s="1360" t="s">
        <v>771</v>
      </c>
      <c r="C56" s="1361"/>
      <c r="D56" s="1362"/>
      <c r="E56" s="1362"/>
      <c r="F56" s="1362"/>
      <c r="G56" s="1362"/>
      <c r="H56" s="1362"/>
      <c r="I56" s="1362"/>
      <c r="J56" s="1362"/>
      <c r="K56" s="1362"/>
      <c r="L56" s="1363"/>
      <c r="O56" s="988" t="s">
        <v>107</v>
      </c>
      <c r="P56" s="77" t="s">
        <v>56</v>
      </c>
      <c r="Q56" s="554">
        <f>MIN(INT(($R$4*P53)*(1+$B$33+$E$33+$B$51)*(IF($T$8="true",$P$8,0)+$A$25+$A$18)),ReadMe!$M$94)</f>
        <v>31003</v>
      </c>
      <c r="R56" s="975" t="s">
        <v>406</v>
      </c>
      <c r="S56" s="712" t="s">
        <v>56</v>
      </c>
      <c r="T56" s="663">
        <f>MIN(INT(Q56*$E$41),ReadMe!$M$94)</f>
        <v>40303</v>
      </c>
      <c r="U56" s="333"/>
    </row>
    <row r="57" spans="2:21" ht="13.5">
      <c r="B57" s="1360" t="s">
        <v>819</v>
      </c>
      <c r="C57" s="1361"/>
      <c r="D57" s="1362"/>
      <c r="E57" s="1362"/>
      <c r="F57" s="1362"/>
      <c r="G57" s="1362"/>
      <c r="H57" s="1362"/>
      <c r="I57" s="1362"/>
      <c r="J57" s="1362"/>
      <c r="K57" s="1362"/>
      <c r="L57" s="1363"/>
      <c r="O57" s="1051"/>
      <c r="P57" s="44" t="s">
        <v>57</v>
      </c>
      <c r="Q57" s="555">
        <f>INT((Q56+Q58)/2)</f>
        <v>39350</v>
      </c>
      <c r="R57" s="1069"/>
      <c r="S57" s="80" t="s">
        <v>57</v>
      </c>
      <c r="T57" s="161">
        <f>INT((T56+T58)/2)</f>
        <v>55924</v>
      </c>
      <c r="U57" s="333"/>
    </row>
    <row r="58" spans="2:21" ht="14.25" thickBot="1">
      <c r="B58" s="1360" t="s">
        <v>807</v>
      </c>
      <c r="C58" s="1361"/>
      <c r="D58" s="1362"/>
      <c r="E58" s="1362"/>
      <c r="F58" s="1362"/>
      <c r="G58" s="1362"/>
      <c r="H58" s="1362"/>
      <c r="I58" s="1362"/>
      <c r="J58" s="1362"/>
      <c r="K58" s="1362"/>
      <c r="L58" s="1363"/>
      <c r="O58" s="989"/>
      <c r="P58" s="15" t="s">
        <v>58</v>
      </c>
      <c r="Q58" s="556">
        <f>MIN(INT(($T$4*P53)*(1+$B$33+$E$33+$B$51)*(IF($T$8="true",$P$8,0)+$A$25+$A$18)),ReadMe!$M$94)</f>
        <v>47697</v>
      </c>
      <c r="R58" s="1070"/>
      <c r="S58" s="87" t="s">
        <v>58</v>
      </c>
      <c r="T58" s="162">
        <f>MIN(INT(Q58*$F$41),ReadMe!$M$94)</f>
        <v>71545</v>
      </c>
      <c r="U58" s="333"/>
    </row>
    <row r="59" spans="2:21" ht="14.25" thickBot="1">
      <c r="B59" s="1223" t="s">
        <v>820</v>
      </c>
      <c r="C59" s="1224"/>
      <c r="D59" s="1224"/>
      <c r="E59" s="1224"/>
      <c r="F59" s="1224"/>
      <c r="G59" s="1224"/>
      <c r="H59" s="1224"/>
      <c r="I59" s="1224"/>
      <c r="J59" s="1224"/>
      <c r="K59" s="1224"/>
      <c r="L59" s="1225"/>
      <c r="O59" s="1301" t="s">
        <v>127</v>
      </c>
      <c r="P59" s="1302"/>
      <c r="Q59" s="1302"/>
      <c r="R59" s="1598">
        <f>INT(Q57*(1-$G$41)+T57*$G$41)</f>
        <v>43493</v>
      </c>
      <c r="S59" s="1027"/>
      <c r="T59" s="1028"/>
      <c r="U59" s="333"/>
    </row>
    <row r="60" spans="2:21" ht="14.25" thickBot="1">
      <c r="B60" s="1312" t="s">
        <v>821</v>
      </c>
      <c r="C60" s="1313"/>
      <c r="D60" s="1313"/>
      <c r="E60" s="1313"/>
      <c r="F60" s="1313"/>
      <c r="G60" s="1313"/>
      <c r="H60" s="1313"/>
      <c r="I60" s="1313"/>
      <c r="J60" s="1313"/>
      <c r="K60" s="1313"/>
      <c r="L60" s="1314"/>
      <c r="O60" s="1308" t="s">
        <v>630</v>
      </c>
      <c r="P60" s="91" t="s">
        <v>56</v>
      </c>
      <c r="Q60" s="681">
        <f>MIN(INT(Q56*1.5),ReadMe!$M$94)</f>
        <v>46504</v>
      </c>
      <c r="R60" s="1293" t="s">
        <v>324</v>
      </c>
      <c r="S60" s="79" t="s">
        <v>56</v>
      </c>
      <c r="T60" s="682">
        <f>MIN(INT(Q60*$E$41),ReadMe!$M$94)</f>
        <v>60455</v>
      </c>
      <c r="U60" s="333"/>
    </row>
    <row r="61" spans="15:20" ht="13.5">
      <c r="O61" s="1051"/>
      <c r="P61" s="44" t="s">
        <v>57</v>
      </c>
      <c r="Q61" s="555">
        <f>MIN(INT(Q57*1.5),ReadMe!$M$94)</f>
        <v>59025</v>
      </c>
      <c r="R61" s="1293"/>
      <c r="S61" s="80" t="s">
        <v>57</v>
      </c>
      <c r="T61" s="552">
        <f>MIN(INT((T60+T62)/2),ReadMe!$M$94)</f>
        <v>83886</v>
      </c>
    </row>
    <row r="62" spans="15:20" ht="14.25" thickBot="1">
      <c r="O62" s="989"/>
      <c r="P62" s="15" t="s">
        <v>58</v>
      </c>
      <c r="Q62" s="556">
        <f>MIN(INT(Q58*1.5),ReadMe!$M$94)</f>
        <v>71545</v>
      </c>
      <c r="R62" s="81" t="s">
        <v>112</v>
      </c>
      <c r="S62" s="87" t="s">
        <v>58</v>
      </c>
      <c r="T62" s="553">
        <f>MIN(INT(Q62*$F$41),ReadMe!$M$94)</f>
        <v>107317</v>
      </c>
    </row>
    <row r="63" spans="15:20" ht="14.25" thickBot="1">
      <c r="O63" s="1301" t="s">
        <v>127</v>
      </c>
      <c r="P63" s="1302"/>
      <c r="Q63" s="1302"/>
      <c r="R63" s="1300">
        <f>INT(Q61*(1-$G$41)+T61*$G$41)</f>
        <v>65240</v>
      </c>
      <c r="S63" s="1295"/>
      <c r="T63" s="1296"/>
    </row>
    <row r="64" ht="14.25" thickBot="1"/>
    <row r="65" spans="15:20" ht="14.25" thickBot="1">
      <c r="O65" s="1270" t="s">
        <v>541</v>
      </c>
      <c r="P65" s="1271"/>
      <c r="Q65" s="99"/>
      <c r="R65" s="1270" t="s">
        <v>1083</v>
      </c>
      <c r="S65" s="1271"/>
      <c r="T65" s="99"/>
    </row>
    <row r="66" spans="15:20" ht="13.5">
      <c r="O66" s="241" t="s">
        <v>546</v>
      </c>
      <c r="P66" s="290">
        <f>D11</f>
        <v>1</v>
      </c>
      <c r="R66" s="241" t="s">
        <v>546</v>
      </c>
      <c r="S66" s="290">
        <f>D10</f>
        <v>30</v>
      </c>
      <c r="T66" s="22"/>
    </row>
    <row r="67" spans="15:20" ht="14.25" thickBot="1">
      <c r="O67" s="232" t="s">
        <v>104</v>
      </c>
      <c r="P67" s="664">
        <f>(400+10*P66)/100</f>
        <v>4.1</v>
      </c>
      <c r="R67" s="231" t="s">
        <v>104</v>
      </c>
      <c r="S67" s="428">
        <f>IF(S66=0,300,(350+5*S66))/100</f>
        <v>5</v>
      </c>
      <c r="T67" s="288"/>
    </row>
    <row r="68" spans="14:20" ht="14.25" thickBot="1">
      <c r="N68" s="333"/>
      <c r="O68" s="287" t="s">
        <v>56</v>
      </c>
      <c r="P68" s="294">
        <f>INT(P70*0.65)</f>
        <v>24577</v>
      </c>
      <c r="R68" s="295" t="s">
        <v>545</v>
      </c>
      <c r="S68" s="296">
        <f>IF(S66=0,30,35+5*INT(S66/10))</f>
        <v>50</v>
      </c>
      <c r="T68" s="289"/>
    </row>
    <row r="69" spans="15:20" ht="13.5">
      <c r="O69" s="291" t="s">
        <v>57</v>
      </c>
      <c r="P69" s="292">
        <f>INT((P70+P68)/2)</f>
        <v>31194</v>
      </c>
      <c r="R69" s="287" t="s">
        <v>56</v>
      </c>
      <c r="S69" s="294">
        <f>INT(S71*0.65)</f>
        <v>29972</v>
      </c>
      <c r="T69" s="288"/>
    </row>
    <row r="70" spans="15:19" ht="14.25" thickBot="1">
      <c r="O70" s="293" t="s">
        <v>58</v>
      </c>
      <c r="P70" s="148">
        <f>INT($P$5*P67)</f>
        <v>37812</v>
      </c>
      <c r="R70" s="291" t="s">
        <v>57</v>
      </c>
      <c r="S70" s="292">
        <f>INT((S71+S69)/2)</f>
        <v>38042</v>
      </c>
    </row>
    <row r="71" spans="18:19" ht="14.25" thickBot="1">
      <c r="R71" s="293" t="s">
        <v>58</v>
      </c>
      <c r="S71" s="148">
        <f>INT($P$5*S67)</f>
        <v>46112</v>
      </c>
    </row>
    <row r="72" spans="15:20" ht="13.5">
      <c r="O72" s="333"/>
      <c r="P72" s="333"/>
      <c r="Q72" s="333"/>
      <c r="R72" s="1606" t="s">
        <v>769</v>
      </c>
      <c r="S72" s="1607"/>
      <c r="T72" s="333"/>
    </row>
    <row r="73" spans="15:20" ht="14.25" thickBot="1">
      <c r="O73" s="121"/>
      <c r="P73" s="333"/>
      <c r="Q73" s="333"/>
      <c r="R73" s="245" t="s">
        <v>770</v>
      </c>
      <c r="S73" s="334">
        <f>INT(S70*(S68/IF(S66&gt;=1,1.5,3)))</f>
        <v>1268066</v>
      </c>
      <c r="T73" s="308"/>
    </row>
    <row r="74" ht="14.25" thickBot="1"/>
    <row r="75" spans="15:20" ht="14.25" thickBot="1">
      <c r="O75" s="1062" t="s">
        <v>1050</v>
      </c>
      <c r="P75" s="1063"/>
      <c r="Q75" s="1063"/>
      <c r="R75" s="1064"/>
      <c r="S75" s="490" t="s">
        <v>113</v>
      </c>
      <c r="T75" s="486">
        <v>0.6</v>
      </c>
    </row>
    <row r="76" spans="15:20" ht="14.25" thickBot="1">
      <c r="O76" s="1205" t="s">
        <v>1051</v>
      </c>
      <c r="P76" s="1206"/>
      <c r="Q76" s="487">
        <v>1</v>
      </c>
      <c r="R76" s="1115" t="s">
        <v>997</v>
      </c>
      <c r="S76" s="1116"/>
      <c r="T76" s="332">
        <v>1</v>
      </c>
    </row>
    <row r="77" spans="15:20" ht="13.5">
      <c r="O77" s="988" t="s">
        <v>107</v>
      </c>
      <c r="P77" s="77" t="s">
        <v>56</v>
      </c>
      <c r="Q77" s="554">
        <f>MIN(INT(($R$4*Q76)*(1+$B$33+$E$33+$B$51)*(IF($T$8="true",$P$8,0)+$A$25+$A$18)),ReadMe!$M$94)</f>
        <v>6739</v>
      </c>
      <c r="R77" s="975" t="s">
        <v>406</v>
      </c>
      <c r="S77" s="712" t="s">
        <v>56</v>
      </c>
      <c r="T77" s="663">
        <f>MIN(INT(Q77*$E$41),ReadMe!$M$94)</f>
        <v>8760</v>
      </c>
    </row>
    <row r="78" spans="15:20" ht="13.5">
      <c r="O78" s="1051"/>
      <c r="P78" s="44" t="s">
        <v>57</v>
      </c>
      <c r="Q78" s="555">
        <f>INT((Q77+Q79)/2)</f>
        <v>8553</v>
      </c>
      <c r="R78" s="1069"/>
      <c r="S78" s="80" t="s">
        <v>57</v>
      </c>
      <c r="T78" s="161">
        <f>INT((T77+T79)/2)</f>
        <v>12156</v>
      </c>
    </row>
    <row r="79" spans="15:20" ht="14.25" thickBot="1">
      <c r="O79" s="989"/>
      <c r="P79" s="15" t="s">
        <v>58</v>
      </c>
      <c r="Q79" s="556">
        <f>MIN(INT(($T$4*Q76)*(1+$B$33+$E$33+$B$51)*(IF($T$8="true",$P$8,0)+$A$25+$A$18)),ReadMe!$M$94)</f>
        <v>10368</v>
      </c>
      <c r="R79" s="1070"/>
      <c r="S79" s="87" t="s">
        <v>58</v>
      </c>
      <c r="T79" s="162">
        <f>MIN(INT(Q79*$F$41),ReadMe!$M$94)</f>
        <v>15552</v>
      </c>
    </row>
    <row r="80" spans="15:20" ht="14.25" thickBot="1">
      <c r="O80" s="1301" t="s">
        <v>127</v>
      </c>
      <c r="P80" s="1302"/>
      <c r="Q80" s="1302"/>
      <c r="R80" s="1598">
        <f>INT(Q78*(1-$G$41)+T78*$G$41)</f>
        <v>9453</v>
      </c>
      <c r="S80" s="1027"/>
      <c r="T80" s="1028"/>
    </row>
    <row r="81" spans="15:20" ht="14.25" thickBot="1">
      <c r="O81" s="1065" t="s">
        <v>407</v>
      </c>
      <c r="P81" s="1066"/>
      <c r="Q81" s="1067"/>
      <c r="R81" s="1035">
        <f>R80*T76</f>
        <v>9453</v>
      </c>
      <c r="S81" s="1027"/>
      <c r="T81" s="1028"/>
    </row>
  </sheetData>
  <sheetProtection/>
  <protectedRanges>
    <protectedRange sqref="D44:D45 D47" name="範囲1_1_1"/>
  </protectedRanges>
  <mergeCells count="144">
    <mergeCell ref="R77:R79"/>
    <mergeCell ref="C21:D21"/>
    <mergeCell ref="O56:O58"/>
    <mergeCell ref="R56:R58"/>
    <mergeCell ref="O45:T45"/>
    <mergeCell ref="B49:D49"/>
    <mergeCell ref="B45:C45"/>
    <mergeCell ref="E45:F45"/>
    <mergeCell ref="O63:Q63"/>
    <mergeCell ref="R63:T63"/>
    <mergeCell ref="B46:C46"/>
    <mergeCell ref="E46:F46"/>
    <mergeCell ref="E47:F47"/>
    <mergeCell ref="B47:C47"/>
    <mergeCell ref="O43:Q43"/>
    <mergeCell ref="R43:T43"/>
    <mergeCell ref="R26:T26"/>
    <mergeCell ref="I50:J50"/>
    <mergeCell ref="O38:R38"/>
    <mergeCell ref="O26:Q26"/>
    <mergeCell ref="O36:Q36"/>
    <mergeCell ref="R36:T36"/>
    <mergeCell ref="S35:T35"/>
    <mergeCell ref="O30:O32"/>
    <mergeCell ref="B44:C44"/>
    <mergeCell ref="E44:F44"/>
    <mergeCell ref="I49:J49"/>
    <mergeCell ref="B33:D33"/>
    <mergeCell ref="E33:F33"/>
    <mergeCell ref="I35:K35"/>
    <mergeCell ref="E42:G42"/>
    <mergeCell ref="B41:D41"/>
    <mergeCell ref="I39:J39"/>
    <mergeCell ref="I41:J41"/>
    <mergeCell ref="N6:R6"/>
    <mergeCell ref="B22:C22"/>
    <mergeCell ref="O18:R18"/>
    <mergeCell ref="F1:P1"/>
    <mergeCell ref="N2:P2"/>
    <mergeCell ref="R2:T2"/>
    <mergeCell ref="O10:T10"/>
    <mergeCell ref="O16:Q16"/>
    <mergeCell ref="R12:R14"/>
    <mergeCell ref="D14:D15"/>
    <mergeCell ref="O52:R52"/>
    <mergeCell ref="O60:O62"/>
    <mergeCell ref="R60:R61"/>
    <mergeCell ref="O59:Q59"/>
    <mergeCell ref="R59:T59"/>
    <mergeCell ref="O75:R75"/>
    <mergeCell ref="O76:P76"/>
    <mergeCell ref="R76:S76"/>
    <mergeCell ref="R72:S72"/>
    <mergeCell ref="B59:L59"/>
    <mergeCell ref="B58:L58"/>
    <mergeCell ref="B55:L55"/>
    <mergeCell ref="B54:L54"/>
    <mergeCell ref="B56:L56"/>
    <mergeCell ref="B57:L57"/>
    <mergeCell ref="B50:D50"/>
    <mergeCell ref="B51:D51"/>
    <mergeCell ref="B29:K29"/>
    <mergeCell ref="R65:S65"/>
    <mergeCell ref="R50:T50"/>
    <mergeCell ref="B53:L53"/>
    <mergeCell ref="R47:R49"/>
    <mergeCell ref="O65:P65"/>
    <mergeCell ref="O47:O49"/>
    <mergeCell ref="O50:Q50"/>
    <mergeCell ref="B60:L60"/>
    <mergeCell ref="I36:K36"/>
    <mergeCell ref="B35:D35"/>
    <mergeCell ref="I47:K47"/>
    <mergeCell ref="I48:J48"/>
    <mergeCell ref="I43:K43"/>
    <mergeCell ref="B42:D42"/>
    <mergeCell ref="B36:D36"/>
    <mergeCell ref="B37:C37"/>
    <mergeCell ref="B38:C38"/>
    <mergeCell ref="S33:T33"/>
    <mergeCell ref="O28:T28"/>
    <mergeCell ref="O33:Q35"/>
    <mergeCell ref="S34:T34"/>
    <mergeCell ref="R30:R32"/>
    <mergeCell ref="V26:W26"/>
    <mergeCell ref="V24:W24"/>
    <mergeCell ref="Y14:Z14"/>
    <mergeCell ref="V14:W14"/>
    <mergeCell ref="V15:W15"/>
    <mergeCell ref="V16:W16"/>
    <mergeCell ref="V25:W25"/>
    <mergeCell ref="Y15:Z15"/>
    <mergeCell ref="Y16:Z16"/>
    <mergeCell ref="Y24:Z24"/>
    <mergeCell ref="Y25:Z25"/>
    <mergeCell ref="Y26:Z26"/>
    <mergeCell ref="Y34:Z34"/>
    <mergeCell ref="Y36:Z36"/>
    <mergeCell ref="Y35:Z35"/>
    <mergeCell ref="AB13:AC13"/>
    <mergeCell ref="AB15:AC15"/>
    <mergeCell ref="AB16:AC16"/>
    <mergeCell ref="AB23:AC23"/>
    <mergeCell ref="AB36:AC36"/>
    <mergeCell ref="AB14:AC14"/>
    <mergeCell ref="AB24:AC24"/>
    <mergeCell ref="AB25:AC25"/>
    <mergeCell ref="AB26:AC26"/>
    <mergeCell ref="AB35:AC35"/>
    <mergeCell ref="AB33:AC33"/>
    <mergeCell ref="AB34:AC34"/>
    <mergeCell ref="V34:W34"/>
    <mergeCell ref="R81:T81"/>
    <mergeCell ref="O77:O79"/>
    <mergeCell ref="O80:Q80"/>
    <mergeCell ref="R80:T80"/>
    <mergeCell ref="O81:Q81"/>
    <mergeCell ref="V35:W35"/>
    <mergeCell ref="V36:W36"/>
    <mergeCell ref="O40:O42"/>
    <mergeCell ref="R40:R42"/>
    <mergeCell ref="B30:D30"/>
    <mergeCell ref="E30:F30"/>
    <mergeCell ref="B31:D31"/>
    <mergeCell ref="E31:F31"/>
    <mergeCell ref="B32:D32"/>
    <mergeCell ref="E32:F32"/>
    <mergeCell ref="B39:C39"/>
    <mergeCell ref="B40:D40"/>
    <mergeCell ref="B2:C2"/>
    <mergeCell ref="B25:C25"/>
    <mergeCell ref="B26:C26"/>
    <mergeCell ref="B4:D4"/>
    <mergeCell ref="B16:C16"/>
    <mergeCell ref="O12:O14"/>
    <mergeCell ref="R20:R22"/>
    <mergeCell ref="O23:Q25"/>
    <mergeCell ref="S23:T23"/>
    <mergeCell ref="O15:Q15"/>
    <mergeCell ref="S25:T25"/>
    <mergeCell ref="R16:T16"/>
    <mergeCell ref="O20:O22"/>
    <mergeCell ref="S24:T24"/>
    <mergeCell ref="R15:T15"/>
  </mergeCells>
  <printOptions/>
  <pageMargins left="0.75" right="0.75" top="1" bottom="1" header="0.512" footer="0.512"/>
  <pageSetup horizontalDpi="300" verticalDpi="300" orientation="portrait" paperSize="9" r:id="rId2"/>
  <ignoredErrors>
    <ignoredError sqref="G27:J27" formulaRange="1"/>
  </ignoredErrors>
  <legacyDrawing r:id="rId1"/>
</worksheet>
</file>

<file path=xl/worksheets/sheet14.xml><?xml version="1.0" encoding="utf-8"?>
<worksheet xmlns="http://schemas.openxmlformats.org/spreadsheetml/2006/main" xmlns:r="http://schemas.openxmlformats.org/officeDocument/2006/relationships">
  <dimension ref="A1:AF64"/>
  <sheetViews>
    <sheetView workbookViewId="0" topLeftCell="A1">
      <selection activeCell="A1" sqref="A1"/>
    </sheetView>
  </sheetViews>
  <sheetFormatPr defaultColWidth="9.00390625" defaultRowHeight="13.5"/>
  <cols>
    <col min="1" max="1" width="2.625" style="0" customWidth="1"/>
    <col min="2" max="11" width="5.625" style="0" customWidth="1"/>
    <col min="12" max="13" width="2.625" style="0" customWidth="1"/>
    <col min="20" max="20" width="9.50390625" style="0" bestFit="1" customWidth="1"/>
  </cols>
  <sheetData>
    <row r="1" spans="6:16" ht="24.75" thickBot="1">
      <c r="F1" s="990" t="s">
        <v>1103</v>
      </c>
      <c r="G1" s="990"/>
      <c r="H1" s="990"/>
      <c r="I1" s="990"/>
      <c r="J1" s="990"/>
      <c r="K1" s="990"/>
      <c r="L1" s="990"/>
      <c r="M1" s="990"/>
      <c r="N1" s="990"/>
      <c r="O1" s="990"/>
      <c r="P1" s="990"/>
    </row>
    <row r="2" spans="2:20" ht="14.25" thickBot="1">
      <c r="B2" s="1078" t="s">
        <v>37</v>
      </c>
      <c r="C2" s="1094"/>
      <c r="D2" s="2">
        <v>150</v>
      </c>
      <c r="E2" s="1"/>
      <c r="F2" s="3" t="s">
        <v>129</v>
      </c>
      <c r="G2" s="3" t="s">
        <v>1088</v>
      </c>
      <c r="H2" s="3" t="s">
        <v>1089</v>
      </c>
      <c r="I2" s="3" t="s">
        <v>1098</v>
      </c>
      <c r="J2" s="3" t="s">
        <v>1097</v>
      </c>
      <c r="K2" s="26" t="s">
        <v>430</v>
      </c>
      <c r="N2" s="991" t="s">
        <v>104</v>
      </c>
      <c r="O2" s="992"/>
      <c r="P2" s="987"/>
      <c r="R2" s="1101" t="s">
        <v>418</v>
      </c>
      <c r="S2" s="1102"/>
      <c r="T2" s="1103"/>
    </row>
    <row r="3" spans="2:20" ht="14.25" thickBot="1">
      <c r="B3" s="5" t="s">
        <v>40</v>
      </c>
      <c r="C3" s="569"/>
      <c r="D3" s="6">
        <f>((D2-1)*5+IF(D2&gt;=120,35,IF(D2&gt;=70,30,25)))-(G3+H3+J3+I3)</f>
        <v>0</v>
      </c>
      <c r="E3" s="7" t="s">
        <v>41</v>
      </c>
      <c r="F3" s="8"/>
      <c r="G3" s="8">
        <v>762</v>
      </c>
      <c r="H3" s="8">
        <v>10</v>
      </c>
      <c r="I3" s="8">
        <v>4</v>
      </c>
      <c r="J3" s="8">
        <v>4</v>
      </c>
      <c r="K3" s="9"/>
      <c r="N3" s="10" t="s">
        <v>69</v>
      </c>
      <c r="O3" s="11" t="s">
        <v>70</v>
      </c>
      <c r="P3" s="12" t="s">
        <v>71</v>
      </c>
      <c r="R3" s="1" t="s">
        <v>69</v>
      </c>
      <c r="S3" s="3" t="s">
        <v>70</v>
      </c>
      <c r="T3" s="4" t="s">
        <v>71</v>
      </c>
    </row>
    <row r="4" spans="2:20" ht="14.25" thickBot="1">
      <c r="B4" s="1205" t="s">
        <v>1104</v>
      </c>
      <c r="C4" s="1254"/>
      <c r="D4" s="1254"/>
      <c r="E4" s="7" t="s">
        <v>42</v>
      </c>
      <c r="F4" s="8">
        <v>88</v>
      </c>
      <c r="G4" s="8">
        <v>7</v>
      </c>
      <c r="H4" s="8"/>
      <c r="I4" s="8"/>
      <c r="J4" s="8"/>
      <c r="K4" s="9"/>
      <c r="N4" s="14">
        <f>P4*D24</f>
        <v>9541.362509999999</v>
      </c>
      <c r="O4" s="15">
        <f>(P4+N4)/2</f>
        <v>10071.438204999999</v>
      </c>
      <c r="P4" s="16">
        <f>$Q$4*($F$28+INT(($F$28-$F$25)*$E$31)+INT($F$28*($K$41+$K$50-1)))/100</f>
        <v>10601.513899999998</v>
      </c>
      <c r="Q4" s="421">
        <f>1.49*(4*$G$28+$H$28)</f>
        <v>5857.19</v>
      </c>
      <c r="R4" s="14">
        <f>N4*$G$48*(1-$G$45/100)</f>
        <v>7156.021882499999</v>
      </c>
      <c r="S4" s="15">
        <f>O4*$G$48*(1-$G$45/100)</f>
        <v>7553.578653749999</v>
      </c>
      <c r="T4" s="16">
        <f>P4*$G$48*(1-$G$45/100)</f>
        <v>7951.135424999999</v>
      </c>
    </row>
    <row r="5" spans="1:21" ht="14.25" customHeight="1" thickBot="1">
      <c r="A5" s="421">
        <f>MAX(D5-K37,5)</f>
        <v>5</v>
      </c>
      <c r="B5" s="169" t="s">
        <v>43</v>
      </c>
      <c r="C5" s="416"/>
      <c r="D5" s="170">
        <v>5</v>
      </c>
      <c r="E5" s="7" t="s">
        <v>44</v>
      </c>
      <c r="F5" s="8"/>
      <c r="G5" s="8"/>
      <c r="H5" s="8"/>
      <c r="I5" s="8"/>
      <c r="J5" s="8"/>
      <c r="K5" s="9"/>
      <c r="O5" s="416"/>
      <c r="P5" s="416"/>
      <c r="Q5" s="22"/>
      <c r="R5" s="22"/>
      <c r="S5" s="22"/>
      <c r="T5" s="22"/>
      <c r="U5" s="22"/>
    </row>
    <row r="6" spans="2:29" ht="14.25" customHeight="1" thickBot="1">
      <c r="B6" s="612" t="s">
        <v>731</v>
      </c>
      <c r="C6" s="604"/>
      <c r="D6" s="142">
        <v>30</v>
      </c>
      <c r="E6" s="43" t="s">
        <v>45</v>
      </c>
      <c r="F6" s="8"/>
      <c r="G6" s="8">
        <v>10</v>
      </c>
      <c r="H6" s="8">
        <v>16</v>
      </c>
      <c r="I6" s="8">
        <v>10</v>
      </c>
      <c r="J6" s="8">
        <v>10</v>
      </c>
      <c r="K6" s="9">
        <v>22</v>
      </c>
      <c r="N6" s="1492" t="s">
        <v>1134</v>
      </c>
      <c r="O6" s="1493"/>
      <c r="P6" s="1639"/>
      <c r="Q6" s="438">
        <v>1.35</v>
      </c>
      <c r="R6" s="1206" t="str">
        <f>IF(A22="TRUE","弱点の相手","弱点ではない相手")</f>
        <v>弱点ではない相手</v>
      </c>
      <c r="S6" s="1469"/>
      <c r="T6" s="1068" t="str">
        <f>IF(A22="TRUE","弱点補正","弱点補正なし")</f>
        <v>弱点補正なし</v>
      </c>
      <c r="U6" s="1036"/>
      <c r="V6" s="76">
        <f>IF(A22="TRUE",1.5,1)</f>
        <v>1</v>
      </c>
      <c r="Y6" s="436"/>
      <c r="Z6" s="436"/>
      <c r="AA6" s="436"/>
      <c r="AB6" s="436"/>
      <c r="AC6" s="436"/>
    </row>
    <row r="7" spans="2:31" ht="14.25" customHeight="1" thickBot="1">
      <c r="B7" s="613" t="s">
        <v>657</v>
      </c>
      <c r="C7" s="588"/>
      <c r="D7" s="251">
        <v>30</v>
      </c>
      <c r="E7" s="43" t="s">
        <v>46</v>
      </c>
      <c r="F7" s="8"/>
      <c r="G7" s="8"/>
      <c r="H7" s="8">
        <v>7</v>
      </c>
      <c r="I7" s="8"/>
      <c r="J7" s="8"/>
      <c r="K7" s="9"/>
      <c r="N7" s="1621" t="s">
        <v>1136</v>
      </c>
      <c r="O7" s="210"/>
      <c r="X7" s="437"/>
      <c r="Y7" s="436"/>
      <c r="Z7" s="436"/>
      <c r="AA7" s="436"/>
      <c r="AB7" s="436"/>
      <c r="AC7" s="436"/>
      <c r="AD7" s="418"/>
      <c r="AE7" s="418"/>
    </row>
    <row r="8" spans="2:31" ht="14.25" customHeight="1" thickBot="1">
      <c r="B8" s="40" t="s">
        <v>1132</v>
      </c>
      <c r="C8" s="581"/>
      <c r="D8" s="9">
        <v>30</v>
      </c>
      <c r="E8" s="43" t="s">
        <v>47</v>
      </c>
      <c r="F8" s="8">
        <v>2</v>
      </c>
      <c r="G8" s="8"/>
      <c r="H8" s="8">
        <v>2</v>
      </c>
      <c r="I8" s="8"/>
      <c r="J8" s="8"/>
      <c r="K8" s="9">
        <v>7</v>
      </c>
      <c r="N8" s="1622"/>
      <c r="O8" s="978" t="s">
        <v>1106</v>
      </c>
      <c r="P8" s="1624"/>
      <c r="Q8" s="1624"/>
      <c r="R8" s="1624"/>
      <c r="S8" s="17" t="s">
        <v>51</v>
      </c>
      <c r="T8" s="76">
        <v>1</v>
      </c>
      <c r="U8" s="433"/>
      <c r="V8" s="431"/>
      <c r="X8" s="1621" t="s">
        <v>1135</v>
      </c>
      <c r="Y8" s="978" t="s">
        <v>1106</v>
      </c>
      <c r="Z8" s="1624"/>
      <c r="AA8" s="1624"/>
      <c r="AB8" s="1624"/>
      <c r="AC8" s="17" t="s">
        <v>51</v>
      </c>
      <c r="AD8" s="76">
        <f>T8</f>
        <v>1</v>
      </c>
      <c r="AE8" s="99"/>
    </row>
    <row r="9" spans="2:32" ht="13.5" customHeight="1">
      <c r="B9" s="40" t="s">
        <v>1133</v>
      </c>
      <c r="C9" s="581"/>
      <c r="D9" s="9">
        <v>20</v>
      </c>
      <c r="E9" s="43" t="s">
        <v>48</v>
      </c>
      <c r="F9" s="8"/>
      <c r="G9" s="8">
        <v>7</v>
      </c>
      <c r="H9" s="8">
        <v>7</v>
      </c>
      <c r="I9" s="8">
        <v>7</v>
      </c>
      <c r="J9" s="8">
        <v>7</v>
      </c>
      <c r="K9" s="9"/>
      <c r="N9" s="1622"/>
      <c r="O9" s="988" t="s">
        <v>107</v>
      </c>
      <c r="P9" s="77" t="s">
        <v>56</v>
      </c>
      <c r="Q9" s="554">
        <f>MIN(INT(($R$4*T8*$Q$6)*(1+$B$33+$E$33+$B$52)*$V$6),ReadMe!$M$94)</f>
        <v>9660</v>
      </c>
      <c r="R9" s="975" t="s">
        <v>406</v>
      </c>
      <c r="S9" s="194" t="s">
        <v>56</v>
      </c>
      <c r="T9" s="160">
        <f>MIN(INT(Q9*$E$42),ReadMe!$M$94)</f>
        <v>13041</v>
      </c>
      <c r="U9" s="1088" t="s">
        <v>140</v>
      </c>
      <c r="V9" s="1408">
        <f>INT(Q10*(1-$G$42)+T10*$G$42)</f>
        <v>12602</v>
      </c>
      <c r="X9" s="1637"/>
      <c r="Y9" s="988" t="s">
        <v>107</v>
      </c>
      <c r="Z9" s="77" t="s">
        <v>56</v>
      </c>
      <c r="AA9" s="554">
        <f>MIN(INT(($R$4*AD8)*(1+$B$33+$E$33+$B$52)),ReadMe!$M$94)</f>
        <v>7156</v>
      </c>
      <c r="AB9" s="975" t="s">
        <v>406</v>
      </c>
      <c r="AC9" s="194" t="s">
        <v>56</v>
      </c>
      <c r="AD9" s="160">
        <f>MIN(INT(AA9*$E$42),ReadMe!$M$94)</f>
        <v>9660</v>
      </c>
      <c r="AE9" s="1088" t="s">
        <v>140</v>
      </c>
      <c r="AF9" s="1408">
        <f>INT(AA10*(1-$G$42)+AD10*$G$42)</f>
        <v>9335</v>
      </c>
    </row>
    <row r="10" spans="2:32" ht="14.25" customHeight="1" thickBot="1">
      <c r="B10" s="157" t="s">
        <v>1185</v>
      </c>
      <c r="C10" s="597"/>
      <c r="D10" s="298">
        <v>1</v>
      </c>
      <c r="E10" s="43" t="s">
        <v>49</v>
      </c>
      <c r="F10" s="8"/>
      <c r="G10" s="8"/>
      <c r="H10" s="8">
        <v>6</v>
      </c>
      <c r="I10" s="8"/>
      <c r="J10" s="8"/>
      <c r="K10" s="9"/>
      <c r="N10" s="1622"/>
      <c r="O10" s="1051"/>
      <c r="P10" s="44" t="s">
        <v>57</v>
      </c>
      <c r="Q10" s="555">
        <f>INT((Q9+Q11)/2)</f>
        <v>10197</v>
      </c>
      <c r="R10" s="1069"/>
      <c r="S10" s="80" t="s">
        <v>57</v>
      </c>
      <c r="T10" s="161">
        <f>INT((T9+T11)/2)</f>
        <v>14571</v>
      </c>
      <c r="U10" s="1233"/>
      <c r="V10" s="1409"/>
      <c r="X10" s="1637"/>
      <c r="Y10" s="1051"/>
      <c r="Z10" s="44" t="s">
        <v>57</v>
      </c>
      <c r="AA10" s="555">
        <f>INT((AA9+AA11)/2)</f>
        <v>7553</v>
      </c>
      <c r="AB10" s="1069"/>
      <c r="AC10" s="80" t="s">
        <v>57</v>
      </c>
      <c r="AD10" s="161">
        <f>INT((AD9+AD11)/2)</f>
        <v>10793</v>
      </c>
      <c r="AE10" s="1233"/>
      <c r="AF10" s="1409"/>
    </row>
    <row r="11" spans="2:32" ht="14.25" thickBot="1">
      <c r="B11" s="481"/>
      <c r="C11" s="608"/>
      <c r="D11" s="482"/>
      <c r="E11" s="43" t="s">
        <v>390</v>
      </c>
      <c r="F11" s="8"/>
      <c r="G11" s="8"/>
      <c r="H11" s="8"/>
      <c r="I11" s="8"/>
      <c r="J11" s="8"/>
      <c r="K11" s="9"/>
      <c r="N11" s="1622"/>
      <c r="O11" s="989"/>
      <c r="P11" s="15" t="s">
        <v>58</v>
      </c>
      <c r="Q11" s="556">
        <f>MIN(INT(($T$4*T8*$Q$6)*(1+$B$33+$E$33+$B$52)*$V$6),ReadMe!$M$94)</f>
        <v>10734</v>
      </c>
      <c r="R11" s="1238"/>
      <c r="S11" s="268" t="s">
        <v>58</v>
      </c>
      <c r="T11" s="270">
        <f>MIN(INT(Q11*$F$42),ReadMe!$M$94)</f>
        <v>16101</v>
      </c>
      <c r="U11" s="1234"/>
      <c r="V11" s="1459"/>
      <c r="X11" s="1637"/>
      <c r="Y11" s="989"/>
      <c r="Z11" s="15" t="s">
        <v>58</v>
      </c>
      <c r="AA11" s="556">
        <f>MIN(INT(($T$4*AD8)*(1+$B$33+$E$33+$B$52)),ReadMe!$M$94)</f>
        <v>7951</v>
      </c>
      <c r="AB11" s="1238"/>
      <c r="AC11" s="268" t="s">
        <v>58</v>
      </c>
      <c r="AD11" s="270">
        <f>MIN(INT(AA11*$F$42),ReadMe!$M$94)</f>
        <v>11926</v>
      </c>
      <c r="AE11" s="1234"/>
      <c r="AF11" s="1459"/>
    </row>
    <row r="12" spans="2:32" ht="14.25" thickBot="1">
      <c r="B12" s="141"/>
      <c r="C12" s="58"/>
      <c r="D12" s="144"/>
      <c r="E12" s="43" t="s">
        <v>339</v>
      </c>
      <c r="F12" s="8"/>
      <c r="G12" s="8">
        <v>20</v>
      </c>
      <c r="H12" s="8">
        <v>3</v>
      </c>
      <c r="I12" s="8"/>
      <c r="J12" s="8"/>
      <c r="K12" s="9">
        <v>5</v>
      </c>
      <c r="N12" s="1622"/>
      <c r="O12" s="978" t="s">
        <v>1107</v>
      </c>
      <c r="P12" s="1624"/>
      <c r="Q12" s="1624"/>
      <c r="R12" s="1625"/>
      <c r="S12" s="420" t="s">
        <v>51</v>
      </c>
      <c r="T12" s="76">
        <f>IF($D$6=0,175,200+3*$D$6)/100</f>
        <v>2.9</v>
      </c>
      <c r="U12" s="331"/>
      <c r="V12" s="219"/>
      <c r="X12" s="1637"/>
      <c r="Y12" s="978" t="s">
        <v>1107</v>
      </c>
      <c r="Z12" s="1624"/>
      <c r="AA12" s="1624"/>
      <c r="AB12" s="1625"/>
      <c r="AC12" s="420" t="s">
        <v>51</v>
      </c>
      <c r="AD12" s="76">
        <f>T12</f>
        <v>2.9</v>
      </c>
      <c r="AE12" s="331"/>
      <c r="AF12" s="219"/>
    </row>
    <row r="13" spans="2:32" ht="13.5">
      <c r="B13" s="429"/>
      <c r="C13" s="609"/>
      <c r="D13" s="144"/>
      <c r="E13" s="43" t="s">
        <v>389</v>
      </c>
      <c r="F13" s="8"/>
      <c r="G13" s="8">
        <v>14</v>
      </c>
      <c r="H13" s="8">
        <v>5</v>
      </c>
      <c r="I13" s="8"/>
      <c r="J13" s="8"/>
      <c r="K13" s="9">
        <v>5</v>
      </c>
      <c r="N13" s="1622"/>
      <c r="O13" s="1592" t="str">
        <f>IF($A$22="TRUE","弱点","通常")</f>
        <v>通常</v>
      </c>
      <c r="P13" s="77" t="s">
        <v>56</v>
      </c>
      <c r="Q13" s="554">
        <f>MIN(INT(($R$4*T12*$Q$6)*(1+$B$33+$E$33+$B$52)*$V$6),ReadMe!$M$94)</f>
        <v>28015</v>
      </c>
      <c r="R13" s="1292" t="s">
        <v>324</v>
      </c>
      <c r="S13" s="79" t="s">
        <v>56</v>
      </c>
      <c r="T13" s="160">
        <f>MIN(INT(Q13*$E$42),ReadMe!$M$94)</f>
        <v>37820</v>
      </c>
      <c r="U13" s="417" t="s">
        <v>140</v>
      </c>
      <c r="V13" s="419">
        <f>INT(Q14*(1-$G$42)+T14*$G$42)</f>
        <v>36547</v>
      </c>
      <c r="X13" s="1637"/>
      <c r="Y13" s="1592" t="str">
        <f>IF($A$22="TRUE","弱点","通常")</f>
        <v>通常</v>
      </c>
      <c r="Z13" s="77" t="s">
        <v>56</v>
      </c>
      <c r="AA13" s="554">
        <f>MIN(INT(($R$4*AD12)*(1+$B$33+$E$33+$B$52)),ReadMe!$M$94)</f>
        <v>20752</v>
      </c>
      <c r="AB13" s="1292" t="s">
        <v>324</v>
      </c>
      <c r="AC13" s="79" t="s">
        <v>56</v>
      </c>
      <c r="AD13" s="160">
        <f>MIN(INT(AA13*$E$42),ReadMe!$M$94)</f>
        <v>28015</v>
      </c>
      <c r="AE13" s="417" t="s">
        <v>140</v>
      </c>
      <c r="AF13" s="419">
        <f>INT(AA14*(1-$G$42)+AD14*$G$42)</f>
        <v>27072</v>
      </c>
    </row>
    <row r="14" spans="2:32" ht="13.5">
      <c r="B14" s="141"/>
      <c r="C14" s="58"/>
      <c r="D14" s="144"/>
      <c r="E14" s="43" t="s">
        <v>59</v>
      </c>
      <c r="F14" s="8"/>
      <c r="G14" s="8">
        <v>8</v>
      </c>
      <c r="H14" s="8">
        <v>13</v>
      </c>
      <c r="I14" s="8"/>
      <c r="J14" s="8"/>
      <c r="K14" s="9">
        <v>5</v>
      </c>
      <c r="N14" s="1622"/>
      <c r="O14" s="1593"/>
      <c r="P14" s="44" t="s">
        <v>57</v>
      </c>
      <c r="Q14" s="555">
        <f>INT((Q13+Q15)/2)</f>
        <v>29571</v>
      </c>
      <c r="R14" s="1293"/>
      <c r="S14" s="80" t="s">
        <v>57</v>
      </c>
      <c r="T14" s="161">
        <f>INT((T13+T15)/2)</f>
        <v>42256</v>
      </c>
      <c r="U14" s="1329" t="s">
        <v>407</v>
      </c>
      <c r="V14" s="1633">
        <f>V13*2</f>
        <v>73094</v>
      </c>
      <c r="X14" s="1637"/>
      <c r="Y14" s="1593"/>
      <c r="Z14" s="44" t="s">
        <v>57</v>
      </c>
      <c r="AA14" s="555">
        <f>INT((AA13+AA15)/2)</f>
        <v>21905</v>
      </c>
      <c r="AB14" s="1293"/>
      <c r="AC14" s="80" t="s">
        <v>57</v>
      </c>
      <c r="AD14" s="161">
        <f>INT((AD13+AD15)/2)</f>
        <v>31301</v>
      </c>
      <c r="AE14" s="1329" t="s">
        <v>407</v>
      </c>
      <c r="AF14" s="1633">
        <f>AF13*2</f>
        <v>54144</v>
      </c>
    </row>
    <row r="15" spans="2:32" ht="14.25" thickBot="1">
      <c r="B15" s="141"/>
      <c r="C15" s="58"/>
      <c r="D15" s="144"/>
      <c r="E15" s="43" t="s">
        <v>60</v>
      </c>
      <c r="F15" s="8">
        <v>15</v>
      </c>
      <c r="G15" s="8"/>
      <c r="H15" s="8"/>
      <c r="I15" s="8"/>
      <c r="J15" s="8"/>
      <c r="K15" s="9"/>
      <c r="N15" s="1622"/>
      <c r="O15" s="430" t="s">
        <v>112</v>
      </c>
      <c r="P15" s="15" t="s">
        <v>58</v>
      </c>
      <c r="Q15" s="556">
        <f>MIN(INT(($T$4*T12*$Q$6)*(1+$B$33+$E$33+$B$52)*$V$6),ReadMe!$M$94)</f>
        <v>31128</v>
      </c>
      <c r="R15" s="81" t="s">
        <v>112</v>
      </c>
      <c r="S15" s="268" t="s">
        <v>58</v>
      </c>
      <c r="T15" s="270">
        <f>MIN(INT(Q15*$F$42),ReadMe!$M$94)</f>
        <v>46692</v>
      </c>
      <c r="U15" s="1301"/>
      <c r="V15" s="1618"/>
      <c r="X15" s="1637"/>
      <c r="Y15" s="430" t="s">
        <v>112</v>
      </c>
      <c r="Z15" s="15" t="s">
        <v>58</v>
      </c>
      <c r="AA15" s="556">
        <f>MIN(INT(($T$4*AD12)*(1+$B$33+$E$33+$B$52)),ReadMe!$M$94)</f>
        <v>23058</v>
      </c>
      <c r="AB15" s="81" t="s">
        <v>112</v>
      </c>
      <c r="AC15" s="268" t="s">
        <v>58</v>
      </c>
      <c r="AD15" s="270">
        <f>MIN(INT(AA15*$F$42),ReadMe!$M$94)</f>
        <v>34587</v>
      </c>
      <c r="AE15" s="1301"/>
      <c r="AF15" s="1618"/>
    </row>
    <row r="16" spans="2:32" ht="14.25" thickBot="1">
      <c r="B16" s="48"/>
      <c r="C16" s="520"/>
      <c r="D16" s="239"/>
      <c r="E16" s="43" t="s">
        <v>61</v>
      </c>
      <c r="F16" s="8">
        <v>4</v>
      </c>
      <c r="G16" s="8">
        <v>8</v>
      </c>
      <c r="H16" s="8"/>
      <c r="I16" s="8"/>
      <c r="J16" s="8"/>
      <c r="K16" s="9"/>
      <c r="N16" s="1622"/>
      <c r="O16" s="978" t="s">
        <v>1108</v>
      </c>
      <c r="P16" s="1624"/>
      <c r="Q16" s="1624"/>
      <c r="R16" s="1625"/>
      <c r="S16" s="420" t="s">
        <v>51</v>
      </c>
      <c r="T16" s="76">
        <f>IF($D$6=0,400,240+4*$D$6)/100</f>
        <v>3.6</v>
      </c>
      <c r="U16" s="331"/>
      <c r="V16" s="219"/>
      <c r="X16" s="1637"/>
      <c r="Y16" s="978" t="s">
        <v>1108</v>
      </c>
      <c r="Z16" s="1624"/>
      <c r="AA16" s="1624"/>
      <c r="AB16" s="1625"/>
      <c r="AC16" s="420" t="s">
        <v>51</v>
      </c>
      <c r="AD16" s="76">
        <f>T16</f>
        <v>3.6</v>
      </c>
      <c r="AE16" s="331"/>
      <c r="AF16" s="219"/>
    </row>
    <row r="17" spans="2:32" ht="13.5">
      <c r="B17" s="1610" t="s">
        <v>1129</v>
      </c>
      <c r="C17" s="1611"/>
      <c r="D17" s="1614">
        <v>100</v>
      </c>
      <c r="E17" s="43" t="s">
        <v>1059</v>
      </c>
      <c r="F17" s="8"/>
      <c r="G17" s="8">
        <v>3</v>
      </c>
      <c r="H17" s="8">
        <v>3</v>
      </c>
      <c r="I17" s="8">
        <v>3</v>
      </c>
      <c r="J17" s="8">
        <v>3</v>
      </c>
      <c r="K17" s="9"/>
      <c r="N17" s="1622"/>
      <c r="O17" s="1592" t="str">
        <f>IF($A$22="TRUE","弱点","通常")</f>
        <v>通常</v>
      </c>
      <c r="P17" s="77" t="s">
        <v>56</v>
      </c>
      <c r="Q17" s="554">
        <f>MIN(INT(($R$4*T16*$Q$6)*(1+$B$33+$E$33+$B$52)*$V$6),ReadMe!$M$94)</f>
        <v>34778</v>
      </c>
      <c r="R17" s="1292" t="s">
        <v>324</v>
      </c>
      <c r="S17" s="79" t="s">
        <v>56</v>
      </c>
      <c r="T17" s="160">
        <f>MIN(INT(Q17*$E$42),ReadMe!$M$94)</f>
        <v>46950</v>
      </c>
      <c r="U17" s="417" t="s">
        <v>140</v>
      </c>
      <c r="V17" s="419">
        <f>INT(Q18*(1-$G$42)+T18*$G$42)</f>
        <v>45370</v>
      </c>
      <c r="X17" s="1637"/>
      <c r="Y17" s="1592" t="str">
        <f>IF($A$22="TRUE","弱点","通常")</f>
        <v>通常</v>
      </c>
      <c r="Z17" s="77" t="s">
        <v>56</v>
      </c>
      <c r="AA17" s="554">
        <f>MIN(INT(($R$4*AD16)*(1+$B$33+$E$33+$B$52)),ReadMe!$M$94)</f>
        <v>25761</v>
      </c>
      <c r="AB17" s="1292" t="s">
        <v>324</v>
      </c>
      <c r="AC17" s="79" t="s">
        <v>56</v>
      </c>
      <c r="AD17" s="160">
        <f>MIN(INT(AA17*$E$42),ReadMe!$M$94)</f>
        <v>34777</v>
      </c>
      <c r="AE17" s="417" t="s">
        <v>140</v>
      </c>
      <c r="AF17" s="419">
        <f>INT(AA18*(1-$G$42)+AD18*$G$42)</f>
        <v>33607</v>
      </c>
    </row>
    <row r="18" spans="2:32" ht="13.5">
      <c r="B18" s="1612"/>
      <c r="C18" s="1613"/>
      <c r="D18" s="1615"/>
      <c r="E18" s="7" t="s">
        <v>1059</v>
      </c>
      <c r="F18" s="8">
        <v>1</v>
      </c>
      <c r="G18" s="8">
        <v>1</v>
      </c>
      <c r="H18" s="8">
        <v>1</v>
      </c>
      <c r="I18" s="8">
        <v>1</v>
      </c>
      <c r="J18" s="8">
        <v>1</v>
      </c>
      <c r="K18" s="9"/>
      <c r="N18" s="1622"/>
      <c r="O18" s="1593"/>
      <c r="P18" s="44" t="s">
        <v>57</v>
      </c>
      <c r="Q18" s="555">
        <f>INT((Q17+Q19)/2)</f>
        <v>36710</v>
      </c>
      <c r="R18" s="1293"/>
      <c r="S18" s="80" t="s">
        <v>57</v>
      </c>
      <c r="T18" s="161">
        <f>INT((T17+T19)/2)</f>
        <v>52456</v>
      </c>
      <c r="U18" s="1629" t="s">
        <v>407</v>
      </c>
      <c r="V18" s="1495">
        <f>IF(D6=0,"-",V17*2)</f>
        <v>90740</v>
      </c>
      <c r="X18" s="1637"/>
      <c r="Y18" s="1593"/>
      <c r="Z18" s="44" t="s">
        <v>57</v>
      </c>
      <c r="AA18" s="555">
        <f>INT((AA17+AA19)/2)</f>
        <v>27192</v>
      </c>
      <c r="AB18" s="1293"/>
      <c r="AC18" s="80" t="s">
        <v>57</v>
      </c>
      <c r="AD18" s="161">
        <f>INT((AD17+AD19)/2)</f>
        <v>38856</v>
      </c>
      <c r="AE18" s="1629" t="s">
        <v>407</v>
      </c>
      <c r="AF18" s="1495">
        <f>IF(N6=0,"-",AF17*2)</f>
        <v>67214</v>
      </c>
    </row>
    <row r="19" spans="2:32" ht="14.25" thickBot="1">
      <c r="B19" s="7" t="s">
        <v>1130</v>
      </c>
      <c r="C19" s="582"/>
      <c r="D19" s="42">
        <f>IF(D17&gt;100,20,INT(D17/10)*2)</f>
        <v>20</v>
      </c>
      <c r="E19" s="7" t="s">
        <v>1059</v>
      </c>
      <c r="F19" s="8">
        <v>1</v>
      </c>
      <c r="G19" s="8">
        <v>1</v>
      </c>
      <c r="H19" s="8">
        <v>1</v>
      </c>
      <c r="I19" s="8">
        <v>1</v>
      </c>
      <c r="J19" s="8">
        <v>1</v>
      </c>
      <c r="K19" s="9"/>
      <c r="N19" s="1622"/>
      <c r="O19" s="430" t="s">
        <v>112</v>
      </c>
      <c r="P19" s="15" t="s">
        <v>58</v>
      </c>
      <c r="Q19" s="556">
        <f>MIN(INT(($T$4*T16*$Q$6)*(1+$B$33+$E$33+$B$52)*$V$6),ReadMe!$M$94)</f>
        <v>38642</v>
      </c>
      <c r="R19" s="81" t="s">
        <v>112</v>
      </c>
      <c r="S19" s="268" t="s">
        <v>58</v>
      </c>
      <c r="T19" s="270">
        <f>MIN(INT(Q19*$F$42),ReadMe!$M$94)</f>
        <v>57963</v>
      </c>
      <c r="U19" s="1329"/>
      <c r="V19" s="1627"/>
      <c r="X19" s="1637"/>
      <c r="Y19" s="430" t="s">
        <v>112</v>
      </c>
      <c r="Z19" s="15" t="s">
        <v>58</v>
      </c>
      <c r="AA19" s="556">
        <f>MIN(INT(($T$4*AD16)*(1+$B$33+$E$33+$B$52)),ReadMe!$M$94)</f>
        <v>28624</v>
      </c>
      <c r="AB19" s="81" t="s">
        <v>112</v>
      </c>
      <c r="AC19" s="268" t="s">
        <v>58</v>
      </c>
      <c r="AD19" s="270">
        <f>MIN(INT(AA19*$F$42),ReadMe!$M$94)</f>
        <v>42936</v>
      </c>
      <c r="AE19" s="1329"/>
      <c r="AF19" s="1627"/>
    </row>
    <row r="20" spans="1:32" ht="14.25" thickBot="1">
      <c r="A20" s="421"/>
      <c r="B20" s="611" t="s">
        <v>1131</v>
      </c>
      <c r="C20" s="610"/>
      <c r="D20" s="428">
        <f>MIN((20+ROUNDDOWN($D$17/10,0)*3)/100,0.5)</f>
        <v>0.5</v>
      </c>
      <c r="E20" s="7" t="s">
        <v>1059</v>
      </c>
      <c r="F20" s="8"/>
      <c r="G20" s="8"/>
      <c r="H20" s="8"/>
      <c r="I20" s="8"/>
      <c r="J20" s="8"/>
      <c r="K20" s="9"/>
      <c r="N20" s="1622"/>
      <c r="O20" s="1079" t="s">
        <v>1113</v>
      </c>
      <c r="P20" s="1079"/>
      <c r="Q20" s="1079"/>
      <c r="R20" s="1079"/>
      <c r="S20" s="1094"/>
      <c r="T20" s="171">
        <f>IF($A$5=5,44,IF($A$5=6,42,IF($A$5=7,40,IF($A$5=8,38,38))))</f>
        <v>44</v>
      </c>
      <c r="U20" s="425" t="s">
        <v>55</v>
      </c>
      <c r="V20" s="426">
        <f>V9+V14+IF(D6&gt;=1,V18,V17)</f>
        <v>176436</v>
      </c>
      <c r="X20" s="1637"/>
      <c r="Y20" s="1079" t="s">
        <v>1113</v>
      </c>
      <c r="Z20" s="1079"/>
      <c r="AA20" s="1079"/>
      <c r="AB20" s="1079"/>
      <c r="AC20" s="1094"/>
      <c r="AD20" s="171">
        <f>T20</f>
        <v>44</v>
      </c>
      <c r="AE20" s="425" t="s">
        <v>55</v>
      </c>
      <c r="AF20" s="426">
        <f>AF9+AF14+IF(N6&gt;=1,AF18,AF17)</f>
        <v>130693</v>
      </c>
    </row>
    <row r="21" spans="1:32" ht="14.25" thickBot="1">
      <c r="A21" s="421" t="b">
        <v>0</v>
      </c>
      <c r="B21" s="169" t="s">
        <v>1111</v>
      </c>
      <c r="C21" s="416"/>
      <c r="D21" s="636"/>
      <c r="E21" s="43" t="s">
        <v>970</v>
      </c>
      <c r="F21" s="8"/>
      <c r="G21" s="8">
        <v>2</v>
      </c>
      <c r="H21" s="8">
        <v>2</v>
      </c>
      <c r="I21" s="8">
        <v>2</v>
      </c>
      <c r="J21" s="8">
        <v>2</v>
      </c>
      <c r="K21" s="9"/>
      <c r="N21" s="1622"/>
      <c r="O21" s="1628" t="s">
        <v>1128</v>
      </c>
      <c r="P21" s="1378"/>
      <c r="Q21" s="1378"/>
      <c r="R21" s="1378"/>
      <c r="S21" s="1378"/>
      <c r="T21" s="1630">
        <f>IF($D$17&gt;=100,V20*T20,"コンボ補正変動のため割愛")</f>
        <v>7763184</v>
      </c>
      <c r="U21" s="1631"/>
      <c r="V21" s="1632"/>
      <c r="X21" s="1637"/>
      <c r="Y21" s="1628" t="s">
        <v>1128</v>
      </c>
      <c r="Z21" s="1378"/>
      <c r="AA21" s="1378"/>
      <c r="AB21" s="1378"/>
      <c r="AC21" s="1378"/>
      <c r="AD21" s="1630">
        <f>IF($D$17&gt;=100,AF20*AD20,"コンボ補正変動のため割愛")</f>
        <v>5750492</v>
      </c>
      <c r="AE21" s="1631"/>
      <c r="AF21" s="1632"/>
    </row>
    <row r="22" spans="1:32" ht="14.25" thickBot="1">
      <c r="A22" s="422" t="str">
        <f>IF(A21=TRUE,"TRUE",IF(D21=1,"TRUE","FLASE"))</f>
        <v>FLASE</v>
      </c>
      <c r="B22" s="637" t="s">
        <v>1105</v>
      </c>
      <c r="C22" s="638"/>
      <c r="D22" s="142">
        <v>30</v>
      </c>
      <c r="E22" s="43" t="s">
        <v>1099</v>
      </c>
      <c r="F22" s="8"/>
      <c r="G22" s="8">
        <v>3</v>
      </c>
      <c r="H22" s="8">
        <v>3</v>
      </c>
      <c r="I22" s="8">
        <v>3</v>
      </c>
      <c r="J22" s="8">
        <v>3</v>
      </c>
      <c r="K22" s="9"/>
      <c r="N22" s="1622"/>
      <c r="O22" s="978" t="s">
        <v>1109</v>
      </c>
      <c r="P22" s="978"/>
      <c r="Q22" s="978"/>
      <c r="R22" s="978"/>
      <c r="S22" s="17" t="s">
        <v>51</v>
      </c>
      <c r="T22" s="76">
        <f>(620+6*D7)/100</f>
        <v>8</v>
      </c>
      <c r="U22" s="432"/>
      <c r="V22" s="219"/>
      <c r="X22" s="1637"/>
      <c r="Y22" s="978" t="s">
        <v>1109</v>
      </c>
      <c r="Z22" s="978"/>
      <c r="AA22" s="978"/>
      <c r="AB22" s="978"/>
      <c r="AC22" s="17" t="s">
        <v>51</v>
      </c>
      <c r="AD22" s="76">
        <f>T22</f>
        <v>8</v>
      </c>
      <c r="AE22" s="432"/>
      <c r="AF22" s="219"/>
    </row>
    <row r="23" spans="1:32" ht="13.5">
      <c r="A23" s="422"/>
      <c r="B23" s="1231" t="s">
        <v>129</v>
      </c>
      <c r="C23" s="1232"/>
      <c r="D23" s="45">
        <f>D22</f>
        <v>30</v>
      </c>
      <c r="E23" s="43" t="s">
        <v>1210</v>
      </c>
      <c r="F23" s="8"/>
      <c r="G23" s="8"/>
      <c r="H23" s="8"/>
      <c r="I23" s="8"/>
      <c r="J23" s="8"/>
      <c r="K23" s="9"/>
      <c r="N23" s="1622"/>
      <c r="O23" s="1592" t="str">
        <f>IF($A$22="TRUE","弱点","通常")</f>
        <v>通常</v>
      </c>
      <c r="P23" s="77" t="s">
        <v>56</v>
      </c>
      <c r="Q23" s="554">
        <f>MIN(INT(($R$4*T22*$Q$6)*(1+$B$33+$E$33+$B$52)*$V$6),ReadMe!$M$94)</f>
        <v>77285</v>
      </c>
      <c r="R23" s="1292" t="s">
        <v>324</v>
      </c>
      <c r="S23" s="79" t="s">
        <v>56</v>
      </c>
      <c r="T23" s="160">
        <f>MIN(INT(Q23*$E$42),ReadMe!$M$94)</f>
        <v>104334</v>
      </c>
      <c r="U23" s="1088" t="s">
        <v>140</v>
      </c>
      <c r="V23" s="1408">
        <f>INT(Q24*(1-$G$42)+T24*$G$42)</f>
        <v>100824</v>
      </c>
      <c r="X23" s="1637"/>
      <c r="Y23" s="1592" t="str">
        <f>IF($A$22="TRUE","弱点","通常")</f>
        <v>通常</v>
      </c>
      <c r="Z23" s="77" t="s">
        <v>56</v>
      </c>
      <c r="AA23" s="554">
        <f>MIN(INT(($R$4*AD22)*(1+$B$33+$E$33+$B$52)),ReadMe!$M$94)</f>
        <v>57248</v>
      </c>
      <c r="AB23" s="1292" t="s">
        <v>324</v>
      </c>
      <c r="AC23" s="79" t="s">
        <v>56</v>
      </c>
      <c r="AD23" s="160">
        <f>MIN(INT(AA23*$E$42),ReadMe!$M$94)</f>
        <v>77284</v>
      </c>
      <c r="AE23" s="1088" t="s">
        <v>140</v>
      </c>
      <c r="AF23" s="1408">
        <f>INT(AA24*(1-$G$42)+AD24*$G$42)</f>
        <v>74684</v>
      </c>
    </row>
    <row r="24" spans="2:32" ht="13.5">
      <c r="B24" s="7" t="s">
        <v>113</v>
      </c>
      <c r="C24" s="44"/>
      <c r="D24" s="543">
        <f>IF(D22=0,70,75+ROUNDUP(D22/2,0))/100</f>
        <v>0.9</v>
      </c>
      <c r="E24" s="43" t="s">
        <v>1100</v>
      </c>
      <c r="F24" s="8"/>
      <c r="G24" s="8"/>
      <c r="H24" s="8"/>
      <c r="I24" s="8"/>
      <c r="J24" s="8"/>
      <c r="K24" s="9"/>
      <c r="N24" s="1622"/>
      <c r="O24" s="1593"/>
      <c r="P24" s="44" t="s">
        <v>57</v>
      </c>
      <c r="Q24" s="555">
        <f>INT((Q23+Q25)/2)</f>
        <v>81578</v>
      </c>
      <c r="R24" s="1293"/>
      <c r="S24" s="80" t="s">
        <v>57</v>
      </c>
      <c r="T24" s="161">
        <f>INT((T23+T25)/2)</f>
        <v>116571</v>
      </c>
      <c r="U24" s="1233"/>
      <c r="V24" s="1409"/>
      <c r="X24" s="1637"/>
      <c r="Y24" s="1593"/>
      <c r="Z24" s="44" t="s">
        <v>57</v>
      </c>
      <c r="AA24" s="555">
        <f>INT((AA23+AA25)/2)</f>
        <v>60428</v>
      </c>
      <c r="AB24" s="1293"/>
      <c r="AC24" s="80" t="s">
        <v>57</v>
      </c>
      <c r="AD24" s="161">
        <f>INT((AD23+AD25)/2)</f>
        <v>86348</v>
      </c>
      <c r="AE24" s="1233"/>
      <c r="AF24" s="1409"/>
    </row>
    <row r="25" spans="2:32" ht="14.25" thickBot="1">
      <c r="B25" s="14" t="s">
        <v>757</v>
      </c>
      <c r="C25" s="15"/>
      <c r="D25" s="29">
        <f>ROUNDUP(D22/2,0)/100</f>
        <v>0.15</v>
      </c>
      <c r="E25" s="43" t="s">
        <v>823</v>
      </c>
      <c r="F25" s="8">
        <v>20</v>
      </c>
      <c r="G25" s="8"/>
      <c r="H25" s="8"/>
      <c r="I25" s="8"/>
      <c r="J25" s="8"/>
      <c r="K25" s="9"/>
      <c r="N25" s="1622"/>
      <c r="O25" s="1594"/>
      <c r="P25" s="15" t="s">
        <v>58</v>
      </c>
      <c r="Q25" s="556">
        <f>MIN(INT(($T$4*T22*$Q$6)*(1+$B$33+$E$33+$B$52)*$V$6),ReadMe!$M$94)</f>
        <v>85872</v>
      </c>
      <c r="R25" s="1626"/>
      <c r="S25" s="268" t="s">
        <v>58</v>
      </c>
      <c r="T25" s="270">
        <f>MIN(INT(Q25*$F$42),ReadMe!$M$94)</f>
        <v>128808</v>
      </c>
      <c r="U25" s="1234"/>
      <c r="V25" s="1459"/>
      <c r="X25" s="1637"/>
      <c r="Y25" s="1594"/>
      <c r="Z25" s="15" t="s">
        <v>58</v>
      </c>
      <c r="AA25" s="556">
        <f>MIN(INT(($T$4*AD22)*(1+$B$33+$E$33+$B$52)),ReadMe!$M$94)</f>
        <v>63609</v>
      </c>
      <c r="AB25" s="1626"/>
      <c r="AC25" s="268" t="s">
        <v>58</v>
      </c>
      <c r="AD25" s="270">
        <f>MIN(INT(AA25*$F$42),ReadMe!$M$94)</f>
        <v>95413</v>
      </c>
      <c r="AE25" s="1234"/>
      <c r="AF25" s="1459"/>
    </row>
    <row r="26" spans="2:32" ht="14.25" thickBot="1">
      <c r="B26" s="1081" t="s">
        <v>1101</v>
      </c>
      <c r="C26" s="1082"/>
      <c r="D26" s="20">
        <v>9</v>
      </c>
      <c r="E26" s="235" t="s">
        <v>1102</v>
      </c>
      <c r="F26" s="8"/>
      <c r="G26" s="41">
        <f>ROUNDDOWN(G3*D27%,0)</f>
        <v>38</v>
      </c>
      <c r="H26" s="41">
        <f>ROUNDDOWN(H3*D27%,0)</f>
        <v>0</v>
      </c>
      <c r="I26" s="41">
        <f>ROUNDDOWN(I3*D27%,0)</f>
        <v>0</v>
      </c>
      <c r="J26" s="41">
        <f>ROUNDDOWN(J3*D27%,0)</f>
        <v>0</v>
      </c>
      <c r="K26" s="9">
        <v>60</v>
      </c>
      <c r="N26" s="1622"/>
      <c r="O26" s="1206" t="s">
        <v>1112</v>
      </c>
      <c r="P26" s="1036"/>
      <c r="Q26" s="1036"/>
      <c r="R26" s="1036"/>
      <c r="S26" s="1036"/>
      <c r="T26" s="434">
        <f>IF($A$5=5,32,IF($A$5=6,30,IF($A$5=7,26,IF($A$5=8,25,25))))</f>
        <v>32</v>
      </c>
      <c r="U26" s="425" t="s">
        <v>55</v>
      </c>
      <c r="V26" s="427">
        <f>V9+V14+IF(D6&gt;=1,V18,V17)+V23</f>
        <v>277260</v>
      </c>
      <c r="X26" s="1637"/>
      <c r="Y26" s="1206" t="s">
        <v>1112</v>
      </c>
      <c r="Z26" s="1036"/>
      <c r="AA26" s="1036"/>
      <c r="AB26" s="1036"/>
      <c r="AC26" s="1036"/>
      <c r="AD26" s="434">
        <f>T26</f>
        <v>32</v>
      </c>
      <c r="AE26" s="425" t="s">
        <v>55</v>
      </c>
      <c r="AF26" s="427">
        <f>AF9+AF14+IF(N6&gt;=1,AF18,AF17)+AF23</f>
        <v>205377</v>
      </c>
    </row>
    <row r="27" spans="2:32" ht="14.25" thickBot="1">
      <c r="B27" s="14" t="s">
        <v>62</v>
      </c>
      <c r="C27" s="571"/>
      <c r="D27" s="47">
        <f>ROUNDUP(D26/2,0)</f>
        <v>5</v>
      </c>
      <c r="E27" s="7" t="s">
        <v>63</v>
      </c>
      <c r="F27" s="44">
        <f>D28+D23+D19</f>
        <v>50</v>
      </c>
      <c r="G27" s="44">
        <f>SUM(G4:G25)</f>
        <v>84</v>
      </c>
      <c r="H27" s="44">
        <f>SUM(H4:H25)</f>
        <v>69</v>
      </c>
      <c r="I27" s="44">
        <f>SUM(I4:I25)</f>
        <v>27</v>
      </c>
      <c r="J27" s="44">
        <f>SUM(J4:J25)</f>
        <v>27</v>
      </c>
      <c r="K27" s="45">
        <f>SUM(K3:K26)+D28</f>
        <v>104</v>
      </c>
      <c r="N27" s="1622"/>
      <c r="O27" s="1206" t="s">
        <v>1128</v>
      </c>
      <c r="P27" s="1036"/>
      <c r="Q27" s="1036"/>
      <c r="R27" s="1036"/>
      <c r="S27" s="1036"/>
      <c r="T27" s="1235">
        <f>IF($D$17&gt;=100,V26*T26,"コンボ補正変動のため割愛")</f>
        <v>8872320</v>
      </c>
      <c r="U27" s="1235"/>
      <c r="V27" s="1236"/>
      <c r="X27" s="1637"/>
      <c r="Y27" s="1206" t="s">
        <v>1128</v>
      </c>
      <c r="Z27" s="1036"/>
      <c r="AA27" s="1036"/>
      <c r="AB27" s="1036"/>
      <c r="AC27" s="1036"/>
      <c r="AD27" s="1235">
        <f>IF($D$17&gt;=100,AF26*AD26,"コンボ補正変動のため割愛")</f>
        <v>6572064</v>
      </c>
      <c r="AE27" s="1235"/>
      <c r="AF27" s="1236"/>
    </row>
    <row r="28" spans="2:30" ht="14.25" thickBot="1">
      <c r="B28" s="17" t="s">
        <v>1024</v>
      </c>
      <c r="C28" s="210"/>
      <c r="D28" s="18">
        <v>0</v>
      </c>
      <c r="E28" s="14" t="s">
        <v>55</v>
      </c>
      <c r="F28" s="49">
        <f>SUM(F4:F27)</f>
        <v>181</v>
      </c>
      <c r="G28" s="579">
        <f>INT((G3+G26+G27)*(1+G31))</f>
        <v>963</v>
      </c>
      <c r="H28" s="579">
        <f>INT((H3+H26+H27)*(1+H31))</f>
        <v>79</v>
      </c>
      <c r="I28" s="579">
        <f>INT((I3+I26+I27)*(1+I31))</f>
        <v>31</v>
      </c>
      <c r="J28" s="579">
        <f>INT((J3+J26+J27)*(1+J31))</f>
        <v>31</v>
      </c>
      <c r="K28" s="580">
        <f>($J$28+$H$28*1.2+K27)*(1+K31)</f>
        <v>229.8</v>
      </c>
      <c r="N28" s="1622"/>
      <c r="O28" s="22"/>
      <c r="P28" s="22"/>
      <c r="Q28" s="22"/>
      <c r="R28" s="22"/>
      <c r="S28" s="22"/>
      <c r="T28" s="22"/>
      <c r="X28" s="1637"/>
      <c r="Y28" s="22"/>
      <c r="Z28" s="22"/>
      <c r="AA28" s="22"/>
      <c r="AB28" s="22"/>
      <c r="AC28" s="22"/>
      <c r="AD28" s="22"/>
    </row>
    <row r="29" spans="2:32" ht="14.25" thickBot="1">
      <c r="B29" s="1068" t="s">
        <v>645</v>
      </c>
      <c r="C29" s="1036"/>
      <c r="D29" s="1036"/>
      <c r="E29" s="1036"/>
      <c r="F29" s="1036"/>
      <c r="G29" s="1036"/>
      <c r="H29" s="1036"/>
      <c r="I29" s="1036"/>
      <c r="J29" s="1036"/>
      <c r="K29" s="1037"/>
      <c r="N29" s="1622"/>
      <c r="O29" s="1619" t="str">
        <f>IF($D$17&gt;=100,"コンボフェンリル","コンボフェンリル(コンボ不足により使用不可)")</f>
        <v>コンボフェンリル</v>
      </c>
      <c r="P29" s="1619"/>
      <c r="Q29" s="1619"/>
      <c r="R29" s="1620"/>
      <c r="S29" s="17" t="s">
        <v>51</v>
      </c>
      <c r="T29" s="76">
        <f>(500+5*D8)/100</f>
        <v>6.5</v>
      </c>
      <c r="U29" s="99"/>
      <c r="V29" s="22"/>
      <c r="X29" s="1637"/>
      <c r="Y29" s="1619" t="str">
        <f>IF($D$17&gt;=100,"コンボフェンリル","コンボフェンリル(コンボ不足により使用不可)")</f>
        <v>コンボフェンリル</v>
      </c>
      <c r="Z29" s="1619"/>
      <c r="AA29" s="1619"/>
      <c r="AB29" s="1620"/>
      <c r="AC29" s="17" t="s">
        <v>51</v>
      </c>
      <c r="AD29" s="76">
        <f>T29</f>
        <v>6.5</v>
      </c>
      <c r="AE29" s="99"/>
      <c r="AF29" s="22"/>
    </row>
    <row r="30" spans="2:32" ht="13.5">
      <c r="B30" s="1085" t="s">
        <v>443</v>
      </c>
      <c r="C30" s="1086"/>
      <c r="D30" s="1087"/>
      <c r="E30" s="1038" t="s">
        <v>646</v>
      </c>
      <c r="F30" s="1039"/>
      <c r="G30" s="1" t="s">
        <v>650</v>
      </c>
      <c r="H30" s="3" t="s">
        <v>649</v>
      </c>
      <c r="I30" s="3" t="s">
        <v>648</v>
      </c>
      <c r="J30" s="3" t="s">
        <v>647</v>
      </c>
      <c r="K30" s="4" t="s">
        <v>651</v>
      </c>
      <c r="N30" s="1622"/>
      <c r="O30" s="1592" t="str">
        <f>IF($A$22="TRUE","弱点","通常")</f>
        <v>通常</v>
      </c>
      <c r="P30" s="77" t="s">
        <v>56</v>
      </c>
      <c r="Q30" s="554">
        <f>MIN(INT(($R$4*T29*$Q$6)*(1+$B$33+$E$33+$B$52)*$V$6),ReadMe!$M$94)</f>
        <v>62794</v>
      </c>
      <c r="R30" s="1292" t="s">
        <v>324</v>
      </c>
      <c r="S30" s="79" t="s">
        <v>56</v>
      </c>
      <c r="T30" s="160">
        <f>MIN(INT(Q30*$E$42),ReadMe!$M$94)</f>
        <v>84771</v>
      </c>
      <c r="U30" s="1518" t="s">
        <v>140</v>
      </c>
      <c r="V30" s="1408">
        <f>INT(Q31*(1-$G$42)+T31*$G$42)</f>
        <v>81919</v>
      </c>
      <c r="X30" s="1637"/>
      <c r="Y30" s="1592" t="str">
        <f>IF($A$22="TRUE","弱点","通常")</f>
        <v>通常</v>
      </c>
      <c r="Z30" s="77" t="s">
        <v>56</v>
      </c>
      <c r="AA30" s="554">
        <f>MIN(INT(($R$4*AD29)*(1+$B$33+$E$33+$B$52)),ReadMe!$M$94)</f>
        <v>46514</v>
      </c>
      <c r="AB30" s="1292" t="s">
        <v>324</v>
      </c>
      <c r="AC30" s="79" t="s">
        <v>56</v>
      </c>
      <c r="AD30" s="160">
        <f>MIN(INT(AA30*$E$42),ReadMe!$M$94)</f>
        <v>62793</v>
      </c>
      <c r="AE30" s="1518" t="s">
        <v>140</v>
      </c>
      <c r="AF30" s="1408">
        <f>INT(AA31*(1-$G$42)+AD31*$G$42)</f>
        <v>60681</v>
      </c>
    </row>
    <row r="31" spans="2:32" ht="14.25" thickBot="1">
      <c r="B31" s="1091">
        <v>0</v>
      </c>
      <c r="C31" s="1132"/>
      <c r="D31" s="1093"/>
      <c r="E31" s="1040">
        <v>0</v>
      </c>
      <c r="F31" s="1032"/>
      <c r="G31" s="575">
        <v>0.09</v>
      </c>
      <c r="H31" s="576">
        <v>0</v>
      </c>
      <c r="I31" s="576">
        <v>0</v>
      </c>
      <c r="J31" s="576">
        <v>0</v>
      </c>
      <c r="K31" s="577">
        <v>0</v>
      </c>
      <c r="N31" s="1622"/>
      <c r="O31" s="1593"/>
      <c r="P31" s="44" t="s">
        <v>57</v>
      </c>
      <c r="Q31" s="555">
        <f>INT((Q30+Q32)/2)</f>
        <v>66282</v>
      </c>
      <c r="R31" s="1293"/>
      <c r="S31" s="80" t="s">
        <v>57</v>
      </c>
      <c r="T31" s="161">
        <f>INT((T30+T32)/2)</f>
        <v>94713</v>
      </c>
      <c r="U31" s="1329"/>
      <c r="V31" s="1409"/>
      <c r="X31" s="1637"/>
      <c r="Y31" s="1593"/>
      <c r="Z31" s="44" t="s">
        <v>57</v>
      </c>
      <c r="AA31" s="555">
        <f>INT((AA30+AA32)/2)</f>
        <v>49098</v>
      </c>
      <c r="AB31" s="1293"/>
      <c r="AC31" s="80" t="s">
        <v>57</v>
      </c>
      <c r="AD31" s="161">
        <f>INT((AD30+AD32)/2)</f>
        <v>70158</v>
      </c>
      <c r="AE31" s="1329"/>
      <c r="AF31" s="1409"/>
    </row>
    <row r="32" spans="2:32" ht="14.25" thickBot="1">
      <c r="B32" s="1088" t="s">
        <v>644</v>
      </c>
      <c r="C32" s="1089"/>
      <c r="D32" s="1090"/>
      <c r="E32" s="984" t="s">
        <v>551</v>
      </c>
      <c r="F32" s="976"/>
      <c r="N32" s="1622"/>
      <c r="O32" s="424" t="s">
        <v>112</v>
      </c>
      <c r="P32" s="69" t="s">
        <v>58</v>
      </c>
      <c r="Q32" s="556">
        <f>MIN(INT(($T$4*T29*$Q$6)*(1+$B$33+$E$33+$B$52)*$V$6),ReadMe!$M$94)</f>
        <v>69771</v>
      </c>
      <c r="R32" s="423" t="s">
        <v>112</v>
      </c>
      <c r="S32" s="268" t="s">
        <v>58</v>
      </c>
      <c r="T32" s="270">
        <f>MIN(INT(Q32*$F$42),ReadMe!$M$94)</f>
        <v>104656</v>
      </c>
      <c r="U32" s="1329"/>
      <c r="V32" s="1459"/>
      <c r="X32" s="1637"/>
      <c r="Y32" s="424" t="s">
        <v>112</v>
      </c>
      <c r="Z32" s="69" t="s">
        <v>58</v>
      </c>
      <c r="AA32" s="556">
        <f>MIN(INT(($T$4*AD29)*(1+$B$33+$E$33+$B$52)),ReadMe!$M$94)</f>
        <v>51682</v>
      </c>
      <c r="AB32" s="423" t="s">
        <v>112</v>
      </c>
      <c r="AC32" s="268" t="s">
        <v>58</v>
      </c>
      <c r="AD32" s="270">
        <f>MIN(INT(AA32*$F$42),ReadMe!$M$94)</f>
        <v>77523</v>
      </c>
      <c r="AE32" s="1329"/>
      <c r="AF32" s="1459"/>
    </row>
    <row r="33" spans="2:32" ht="14.25" thickBot="1">
      <c r="B33" s="1091">
        <v>0</v>
      </c>
      <c r="C33" s="1092"/>
      <c r="D33" s="1093"/>
      <c r="E33" s="1040">
        <v>0</v>
      </c>
      <c r="F33" s="1032"/>
      <c r="N33" s="1622"/>
      <c r="O33" s="1592" t="str">
        <f>IF($A$22="TRUE","弱点","通常")</f>
        <v>通常</v>
      </c>
      <c r="P33" s="77" t="s">
        <v>56</v>
      </c>
      <c r="Q33" s="554">
        <f>Q30*2</f>
        <v>125588</v>
      </c>
      <c r="R33" s="1292" t="s">
        <v>324</v>
      </c>
      <c r="S33" s="88" t="s">
        <v>56</v>
      </c>
      <c r="T33" s="551">
        <f>T30*2</f>
        <v>169542</v>
      </c>
      <c r="U33" s="1518" t="s">
        <v>407</v>
      </c>
      <c r="V33" s="1616">
        <f>V30*2</f>
        <v>163838</v>
      </c>
      <c r="X33" s="1637"/>
      <c r="Y33" s="1592" t="str">
        <f>IF($A$22="TRUE","弱点","通常")</f>
        <v>通常</v>
      </c>
      <c r="Z33" s="77" t="s">
        <v>56</v>
      </c>
      <c r="AA33" s="554">
        <f>AA30*2</f>
        <v>93028</v>
      </c>
      <c r="AB33" s="1292" t="s">
        <v>324</v>
      </c>
      <c r="AC33" s="88" t="s">
        <v>56</v>
      </c>
      <c r="AD33" s="551">
        <f>AD30*2</f>
        <v>125586</v>
      </c>
      <c r="AE33" s="1518" t="s">
        <v>407</v>
      </c>
      <c r="AF33" s="1616">
        <f>AF30*2</f>
        <v>121362</v>
      </c>
    </row>
    <row r="34" spans="14:32" ht="14.25" thickBot="1">
      <c r="N34" s="1622"/>
      <c r="O34" s="1593"/>
      <c r="P34" s="44" t="s">
        <v>57</v>
      </c>
      <c r="Q34" s="555">
        <f>Q31*2</f>
        <v>132564</v>
      </c>
      <c r="R34" s="1293"/>
      <c r="S34" s="80" t="s">
        <v>57</v>
      </c>
      <c r="T34" s="682">
        <f>T31*2</f>
        <v>189426</v>
      </c>
      <c r="U34" s="1329"/>
      <c r="V34" s="1617"/>
      <c r="X34" s="1637"/>
      <c r="Y34" s="1593"/>
      <c r="Z34" s="44" t="s">
        <v>57</v>
      </c>
      <c r="AA34" s="555">
        <f>AA31*2</f>
        <v>98196</v>
      </c>
      <c r="AB34" s="1293"/>
      <c r="AC34" s="80" t="s">
        <v>57</v>
      </c>
      <c r="AD34" s="682">
        <f>AD31*2</f>
        <v>140316</v>
      </c>
      <c r="AE34" s="1329"/>
      <c r="AF34" s="1617"/>
    </row>
    <row r="35" spans="2:32" ht="14.25" thickBot="1">
      <c r="B35" s="1047" t="s">
        <v>1120</v>
      </c>
      <c r="C35" s="1048"/>
      <c r="D35" s="1048"/>
      <c r="E35" s="614" t="s">
        <v>56</v>
      </c>
      <c r="F35" s="615" t="s">
        <v>58</v>
      </c>
      <c r="G35" s="616" t="s">
        <v>750</v>
      </c>
      <c r="I35" s="1041" t="s">
        <v>218</v>
      </c>
      <c r="J35" s="1042"/>
      <c r="K35" s="1043"/>
      <c r="N35" s="1622"/>
      <c r="O35" s="430" t="s">
        <v>55</v>
      </c>
      <c r="P35" s="15" t="s">
        <v>58</v>
      </c>
      <c r="Q35" s="556">
        <f>Q32*2</f>
        <v>139542</v>
      </c>
      <c r="R35" s="81" t="s">
        <v>55</v>
      </c>
      <c r="S35" s="87" t="s">
        <v>58</v>
      </c>
      <c r="T35" s="792">
        <f>T32*2</f>
        <v>209312</v>
      </c>
      <c r="U35" s="1301"/>
      <c r="V35" s="1618"/>
      <c r="X35" s="1637"/>
      <c r="Y35" s="430" t="s">
        <v>55</v>
      </c>
      <c r="Z35" s="15" t="s">
        <v>58</v>
      </c>
      <c r="AA35" s="556">
        <f>AA32*2</f>
        <v>103364</v>
      </c>
      <c r="AB35" s="81" t="s">
        <v>55</v>
      </c>
      <c r="AC35" s="87" t="s">
        <v>58</v>
      </c>
      <c r="AD35" s="792">
        <f>AD32*2</f>
        <v>155046</v>
      </c>
      <c r="AE35" s="1301"/>
      <c r="AF35" s="1618"/>
    </row>
    <row r="36" spans="2:30" ht="14.25" thickBot="1">
      <c r="B36" s="1133" t="s">
        <v>1122</v>
      </c>
      <c r="C36" s="1134"/>
      <c r="D36" s="1135"/>
      <c r="E36" s="625">
        <f>1.2+D25</f>
        <v>1.3499999999999999</v>
      </c>
      <c r="F36" s="626">
        <v>1.5</v>
      </c>
      <c r="G36" s="519">
        <v>0.05</v>
      </c>
      <c r="I36" s="1041" t="s">
        <v>220</v>
      </c>
      <c r="J36" s="1053"/>
      <c r="K36" s="1054"/>
      <c r="N36" s="1622"/>
      <c r="O36" s="22"/>
      <c r="P36" s="22"/>
      <c r="Q36" s="22"/>
      <c r="R36" s="22"/>
      <c r="S36" s="22"/>
      <c r="T36" s="22"/>
      <c r="X36" s="1637"/>
      <c r="Y36" s="22"/>
      <c r="Z36" s="22"/>
      <c r="AA36" s="22"/>
      <c r="AB36" s="22"/>
      <c r="AC36" s="22"/>
      <c r="AD36" s="22"/>
    </row>
    <row r="37" spans="2:32" ht="14.25" thickBot="1">
      <c r="B37" s="1640" t="s">
        <v>756</v>
      </c>
      <c r="C37" s="1000"/>
      <c r="D37" s="1641"/>
      <c r="E37" s="630" t="s">
        <v>742</v>
      </c>
      <c r="F37" s="631" t="s">
        <v>742</v>
      </c>
      <c r="G37" s="543">
        <f>D20</f>
        <v>0.5</v>
      </c>
      <c r="I37" s="871" t="s">
        <v>217</v>
      </c>
      <c r="J37" s="224"/>
      <c r="K37" s="247">
        <v>0</v>
      </c>
      <c r="N37" s="1622"/>
      <c r="O37" s="1619" t="str">
        <f>IF($D$17&gt;=100,"コンボスマッシュ(他スキル発動により使用不可)",IF($D$17&gt;=30,"コンボスマッシュ","コンボスマッシュ(コンボ不足により使用不可)"))</f>
        <v>コンボスマッシュ(他スキル発動により使用不可)</v>
      </c>
      <c r="P37" s="1619"/>
      <c r="Q37" s="1619"/>
      <c r="R37" s="1620"/>
      <c r="S37" s="17" t="s">
        <v>51</v>
      </c>
      <c r="T37" s="76">
        <f>(400+10*D9)/100</f>
        <v>6</v>
      </c>
      <c r="U37" s="99"/>
      <c r="V37" s="22"/>
      <c r="X37" s="1637"/>
      <c r="Y37" s="1619" t="str">
        <f>IF($D$17&gt;=100,"コンボスマッシュ(他スキル発動により使用不可)",IF($D$17&gt;=30,"コンボスマッシュ","コンボスマッシュ(コンボ不足により使用不可)"))</f>
        <v>コンボスマッシュ(他スキル発動により使用不可)</v>
      </c>
      <c r="Z37" s="1619"/>
      <c r="AA37" s="1619"/>
      <c r="AB37" s="1620"/>
      <c r="AC37" s="17" t="s">
        <v>51</v>
      </c>
      <c r="AD37" s="76">
        <f>T37</f>
        <v>6</v>
      </c>
      <c r="AE37" s="99"/>
      <c r="AF37" s="22"/>
    </row>
    <row r="38" spans="2:32" ht="14.25" thickBot="1">
      <c r="B38" s="1051" t="s">
        <v>1117</v>
      </c>
      <c r="C38" s="1052"/>
      <c r="D38" s="548">
        <v>0</v>
      </c>
      <c r="E38" s="632" t="s">
        <v>742</v>
      </c>
      <c r="F38" s="537">
        <f>D38/100</f>
        <v>0</v>
      </c>
      <c r="G38" s="543">
        <f>IF(D38=0,0,(5+ROUNDUP(D38/2,0))/100)</f>
        <v>0</v>
      </c>
      <c r="N38" s="1622"/>
      <c r="O38" s="1634" t="str">
        <f>IF($A$22="TRUE","弱点","通常")</f>
        <v>通常</v>
      </c>
      <c r="P38" s="77" t="s">
        <v>56</v>
      </c>
      <c r="Q38" s="554">
        <f>MIN(INT(($R$4*T37*$Q$6)*(1+$B$33+$E$33+$B$52)*$V$6),ReadMe!$M$94)</f>
        <v>57963</v>
      </c>
      <c r="R38" s="1292" t="s">
        <v>324</v>
      </c>
      <c r="S38" s="88" t="s">
        <v>56</v>
      </c>
      <c r="T38" s="160">
        <f>MIN(INT(Q38*$E$42),ReadMe!$M$94)</f>
        <v>78250</v>
      </c>
      <c r="U38" s="1518" t="s">
        <v>140</v>
      </c>
      <c r="V38" s="1408">
        <f>INT(Q39*(1-$G$42)+T39*$G$42)</f>
        <v>75617</v>
      </c>
      <c r="X38" s="1637"/>
      <c r="Y38" s="1634" t="str">
        <f>IF($A$22="TRUE","弱点","通常")</f>
        <v>通常</v>
      </c>
      <c r="Z38" s="77" t="s">
        <v>56</v>
      </c>
      <c r="AA38" s="554">
        <f>MIN(INT(($R$4*AD37)*(1+$B$33+$E$33+$B$52)),ReadMe!$M$94)</f>
        <v>42936</v>
      </c>
      <c r="AB38" s="1292" t="s">
        <v>324</v>
      </c>
      <c r="AC38" s="88" t="s">
        <v>56</v>
      </c>
      <c r="AD38" s="160">
        <f>MIN(INT(AA38*$E$42),ReadMe!$M$94)</f>
        <v>57963</v>
      </c>
      <c r="AE38" s="1518" t="s">
        <v>140</v>
      </c>
      <c r="AF38" s="1408">
        <f>INT(AA39*(1-$G$42)+AD39*$G$42)</f>
        <v>56013</v>
      </c>
    </row>
    <row r="39" spans="2:32" ht="14.25" thickBot="1">
      <c r="B39" s="1051" t="s">
        <v>1118</v>
      </c>
      <c r="C39" s="1052"/>
      <c r="D39" s="548">
        <v>0</v>
      </c>
      <c r="E39" s="627">
        <f>D39/100</f>
        <v>0</v>
      </c>
      <c r="F39" s="633" t="s">
        <v>742</v>
      </c>
      <c r="G39" s="543">
        <f>IF(D39=0,0,(5+ROUNDUP(D39/2,0))/100)</f>
        <v>0</v>
      </c>
      <c r="I39" s="1058" t="s">
        <v>1163</v>
      </c>
      <c r="J39" s="1059"/>
      <c r="K39" s="896"/>
      <c r="L39" s="421" t="b">
        <v>0</v>
      </c>
      <c r="M39" s="514" t="str">
        <f>IF(L39=TRUE,"TRUE",IF(K39=1,"TRUE","FLASE"))</f>
        <v>FLASE</v>
      </c>
      <c r="N39" s="1622"/>
      <c r="O39" s="1635"/>
      <c r="P39" s="44" t="s">
        <v>57</v>
      </c>
      <c r="Q39" s="555">
        <f>INT((Q38+Q40)/2)</f>
        <v>61183</v>
      </c>
      <c r="R39" s="1293"/>
      <c r="S39" s="80" t="s">
        <v>57</v>
      </c>
      <c r="T39" s="161">
        <f>INT((T38+T40)/2)</f>
        <v>87428</v>
      </c>
      <c r="U39" s="1329"/>
      <c r="V39" s="1409"/>
      <c r="X39" s="1637"/>
      <c r="Y39" s="1635"/>
      <c r="Z39" s="44" t="s">
        <v>57</v>
      </c>
      <c r="AA39" s="555">
        <f>INT((AA38+AA40)/2)</f>
        <v>45321</v>
      </c>
      <c r="AB39" s="1293"/>
      <c r="AC39" s="80" t="s">
        <v>57</v>
      </c>
      <c r="AD39" s="161">
        <f>INT((AD38+AD40)/2)</f>
        <v>64761</v>
      </c>
      <c r="AE39" s="1329"/>
      <c r="AF39" s="1409"/>
    </row>
    <row r="40" spans="1:32" ht="14.25" thickBot="1">
      <c r="A40" s="421" t="b">
        <v>0</v>
      </c>
      <c r="B40" s="1051" t="s">
        <v>1119</v>
      </c>
      <c r="C40" s="1052"/>
      <c r="D40" s="544"/>
      <c r="E40" s="538"/>
      <c r="F40" s="537">
        <f>IF(H40="true",0.15,0)</f>
        <v>0</v>
      </c>
      <c r="G40" s="543">
        <f>IF(H40="true",0.1,0)</f>
        <v>0</v>
      </c>
      <c r="H40" s="421" t="str">
        <f>IF(A40=TRUE,"TRUE",IF(D40=1,"TRUE","FLASE"))</f>
        <v>FLASE</v>
      </c>
      <c r="I40" s="637" t="s">
        <v>787</v>
      </c>
      <c r="J40" s="893"/>
      <c r="K40" s="894">
        <v>0</v>
      </c>
      <c r="N40" s="1622"/>
      <c r="O40" s="1636"/>
      <c r="P40" s="15" t="s">
        <v>58</v>
      </c>
      <c r="Q40" s="556">
        <f>MIN(INT(($T$4*T37*$Q$6)*(1+$B$33+$E$33+$B$52)*$V$6),ReadMe!$M$94)</f>
        <v>64404</v>
      </c>
      <c r="R40" s="1626"/>
      <c r="S40" s="87" t="s">
        <v>58</v>
      </c>
      <c r="T40" s="162">
        <f>MIN(INT(Q40*$F$42),ReadMe!$M$94)</f>
        <v>96606</v>
      </c>
      <c r="U40" s="1301"/>
      <c r="V40" s="1459"/>
      <c r="X40" s="1637"/>
      <c r="Y40" s="1636"/>
      <c r="Z40" s="15" t="s">
        <v>58</v>
      </c>
      <c r="AA40" s="556">
        <f>MIN(INT(($T$4*AD37)*(1+$B$33+$E$33+$B$52)),ReadMe!$M$94)</f>
        <v>47706</v>
      </c>
      <c r="AB40" s="1626"/>
      <c r="AC40" s="87" t="s">
        <v>58</v>
      </c>
      <c r="AD40" s="162">
        <f>MIN(INT(AA40*$F$42),ReadMe!$M$94)</f>
        <v>71559</v>
      </c>
      <c r="AE40" s="1301"/>
      <c r="AF40" s="1459"/>
    </row>
    <row r="41" spans="2:32" ht="14.25" thickBot="1">
      <c r="B41" s="1055" t="s">
        <v>1121</v>
      </c>
      <c r="C41" s="1056"/>
      <c r="D41" s="1057"/>
      <c r="E41" s="628">
        <v>0</v>
      </c>
      <c r="F41" s="629">
        <v>0</v>
      </c>
      <c r="G41" s="567">
        <v>0</v>
      </c>
      <c r="I41" s="1060" t="s">
        <v>530</v>
      </c>
      <c r="J41" s="1061"/>
      <c r="K41" s="895">
        <f>IF(M39="true",IF(K40&gt;0,10+ROUNDUP(K40/3,0),11)/100,0)</f>
        <v>0</v>
      </c>
      <c r="L41" s="342"/>
      <c r="M41" s="342"/>
      <c r="N41" s="1622"/>
      <c r="V41" s="435"/>
      <c r="X41" s="1637"/>
      <c r="AF41" s="435"/>
    </row>
    <row r="42" spans="2:32" ht="14.25" thickBot="1">
      <c r="B42" s="1044" t="s">
        <v>1123</v>
      </c>
      <c r="C42" s="1045"/>
      <c r="D42" s="1046"/>
      <c r="E42" s="622">
        <f>E36+MAX(E39,E40)+E41</f>
        <v>1.3499999999999999</v>
      </c>
      <c r="F42" s="623">
        <f>F36+MAX(F38,F40)+F41</f>
        <v>1.5</v>
      </c>
      <c r="G42" s="624">
        <f>G36+G37+MAX(G38,G39,G40)+G41</f>
        <v>0.55</v>
      </c>
      <c r="N42" s="1622"/>
      <c r="O42" s="1619" t="str">
        <f>IF($D$17&gt;=200,"コンボテンペスト","コンボテンペスト(コンボ不足により使用不可)")</f>
        <v>コンボテンペスト(コンボ不足により使用不可)</v>
      </c>
      <c r="P42" s="1619"/>
      <c r="Q42" s="1619"/>
      <c r="R42" s="1620"/>
      <c r="S42" s="17" t="s">
        <v>51</v>
      </c>
      <c r="T42" s="76">
        <f>(300+10*D10)/100</f>
        <v>3.1</v>
      </c>
      <c r="U42" s="99"/>
      <c r="V42" s="22"/>
      <c r="X42" s="1637"/>
      <c r="Y42" s="1619" t="str">
        <f>IF($D$17&gt;=200,"コンボテンペスト","コンボテンペスト(コンボ不足により使用不可)")</f>
        <v>コンボテンペスト(コンボ不足により使用不可)</v>
      </c>
      <c r="Z42" s="1619"/>
      <c r="AA42" s="1619"/>
      <c r="AB42" s="1620"/>
      <c r="AC42" s="17" t="s">
        <v>51</v>
      </c>
      <c r="AD42" s="76">
        <f>T42</f>
        <v>3.1</v>
      </c>
      <c r="AE42" s="99"/>
      <c r="AF42" s="22"/>
    </row>
    <row r="43" spans="2:32" ht="14.25" thickBot="1">
      <c r="B43" s="1136" t="s">
        <v>135</v>
      </c>
      <c r="C43" s="1137"/>
      <c r="D43" s="1138"/>
      <c r="E43" s="1011">
        <f>(($E$42+$F$42)/2-1)*$G$42+1</f>
        <v>1.23375</v>
      </c>
      <c r="F43" s="1012"/>
      <c r="G43" s="1005"/>
      <c r="I43" s="1075" t="s">
        <v>1188</v>
      </c>
      <c r="J43" s="1076"/>
      <c r="K43" s="1077"/>
      <c r="N43" s="1622"/>
      <c r="O43" s="1592" t="str">
        <f>IF($A$22="TRUE","弱点","通常")</f>
        <v>通常</v>
      </c>
      <c r="P43" s="77" t="s">
        <v>56</v>
      </c>
      <c r="Q43" s="554">
        <f>MIN(INT(($R$4*T42*$Q$6)*(1+$B$33+$E$33+$B$52)*$V$6),ReadMe!$M$94)</f>
        <v>29947</v>
      </c>
      <c r="R43" s="1292" t="s">
        <v>324</v>
      </c>
      <c r="S43" s="79" t="s">
        <v>56</v>
      </c>
      <c r="T43" s="160">
        <f>MIN(INT(Q43*$E$42),ReadMe!$M$94)</f>
        <v>40428</v>
      </c>
      <c r="U43" s="1518" t="s">
        <v>140</v>
      </c>
      <c r="V43" s="1408">
        <f>INT(Q44*(1-$G$42)+T44*$G$42)</f>
        <v>39068</v>
      </c>
      <c r="X43" s="1637"/>
      <c r="Y43" s="1592" t="str">
        <f>IF($A$22="TRUE","弱点","通常")</f>
        <v>通常</v>
      </c>
      <c r="Z43" s="77" t="s">
        <v>56</v>
      </c>
      <c r="AA43" s="554">
        <f>MIN(INT(($R$4*AD42)*(1+$B$33+$E$33+$B$52)),ReadMe!$M$94)</f>
        <v>22183</v>
      </c>
      <c r="AB43" s="1292" t="s">
        <v>324</v>
      </c>
      <c r="AC43" s="79" t="s">
        <v>56</v>
      </c>
      <c r="AD43" s="160">
        <f>MIN(INT(AA43*$E$42),ReadMe!$M$94)</f>
        <v>29947</v>
      </c>
      <c r="AE43" s="1518" t="s">
        <v>140</v>
      </c>
      <c r="AF43" s="1408">
        <f>INT(AA44*(1-$G$42)+AD44*$G$42)</f>
        <v>28939</v>
      </c>
    </row>
    <row r="44" spans="9:32" ht="14.25" thickBot="1">
      <c r="I44" s="439" t="s">
        <v>1189</v>
      </c>
      <c r="J44" s="572"/>
      <c r="K44" s="223">
        <v>0</v>
      </c>
      <c r="N44" s="1622"/>
      <c r="O44" s="1593"/>
      <c r="P44" s="44" t="s">
        <v>57</v>
      </c>
      <c r="Q44" s="555">
        <f>INT((Q43+Q45)/2)</f>
        <v>31611</v>
      </c>
      <c r="R44" s="1293"/>
      <c r="S44" s="80" t="s">
        <v>57</v>
      </c>
      <c r="T44" s="161">
        <f>INT((T43+T45)/2)</f>
        <v>45170</v>
      </c>
      <c r="U44" s="1329"/>
      <c r="V44" s="1409"/>
      <c r="X44" s="1637"/>
      <c r="Y44" s="1593"/>
      <c r="Z44" s="44" t="s">
        <v>57</v>
      </c>
      <c r="AA44" s="555">
        <f>INT((AA43+AA45)/2)</f>
        <v>23415</v>
      </c>
      <c r="AB44" s="1293"/>
      <c r="AC44" s="80" t="s">
        <v>57</v>
      </c>
      <c r="AD44" s="161">
        <f>INT((AD43+AD45)/2)</f>
        <v>33459</v>
      </c>
      <c r="AE44" s="1329"/>
      <c r="AF44" s="1409"/>
    </row>
    <row r="45" spans="2:32" ht="14.25" thickBot="1">
      <c r="B45" s="1049" t="s">
        <v>416</v>
      </c>
      <c r="C45" s="1050"/>
      <c r="D45" s="566">
        <v>125</v>
      </c>
      <c r="E45" s="1147" t="s">
        <v>417</v>
      </c>
      <c r="F45" s="1148"/>
      <c r="G45" s="26">
        <f>IF(D2&gt;D45,0,$D$45-$D$2)</f>
        <v>0</v>
      </c>
      <c r="I45" s="440" t="s">
        <v>1190</v>
      </c>
      <c r="J45" s="573"/>
      <c r="K45" s="441">
        <f>IF(K44&gt;0,(K44+10)/100,0)</f>
        <v>0</v>
      </c>
      <c r="N45" s="1622"/>
      <c r="O45" s="424" t="s">
        <v>112</v>
      </c>
      <c r="P45" s="69" t="s">
        <v>58</v>
      </c>
      <c r="Q45" s="556">
        <f>MIN(INT(($T$4*T42*$Q$6)*(1+$B$33+$E$33+$B$52)*$V$6),ReadMe!$M$94)</f>
        <v>33275</v>
      </c>
      <c r="R45" s="423" t="s">
        <v>112</v>
      </c>
      <c r="S45" s="268" t="s">
        <v>58</v>
      </c>
      <c r="T45" s="270">
        <f>MIN(INT(Q45*$F$42),ReadMe!$M$94)</f>
        <v>49912</v>
      </c>
      <c r="U45" s="1329"/>
      <c r="V45" s="1459"/>
      <c r="X45" s="1637"/>
      <c r="Y45" s="424" t="s">
        <v>112</v>
      </c>
      <c r="Z45" s="69" t="s">
        <v>58</v>
      </c>
      <c r="AA45" s="556">
        <f>MIN(INT(($T$4*AD42)*(1+$B$33+$E$33+$B$52)),ReadMe!$M$94)</f>
        <v>24648</v>
      </c>
      <c r="AB45" s="423" t="s">
        <v>112</v>
      </c>
      <c r="AC45" s="268" t="s">
        <v>58</v>
      </c>
      <c r="AD45" s="270">
        <f>MIN(INT(AA45*$F$42),ReadMe!$M$94)</f>
        <v>36972</v>
      </c>
      <c r="AE45" s="1329"/>
      <c r="AF45" s="1459"/>
    </row>
    <row r="46" spans="2:32" ht="14.25" thickBot="1">
      <c r="B46" s="1006" t="s">
        <v>450</v>
      </c>
      <c r="C46" s="1007"/>
      <c r="D46" s="9">
        <v>12</v>
      </c>
      <c r="E46" s="1006" t="s">
        <v>452</v>
      </c>
      <c r="F46" s="1007"/>
      <c r="G46" s="665">
        <f>IF(G45&gt;0,"-",D46)</f>
        <v>12</v>
      </c>
      <c r="N46" s="1622"/>
      <c r="O46" s="1592" t="str">
        <f>IF($A$22="TRUE","弱点","通常")</f>
        <v>通常</v>
      </c>
      <c r="P46" s="77" t="s">
        <v>56</v>
      </c>
      <c r="Q46" s="554">
        <f>Q43*4</f>
        <v>119788</v>
      </c>
      <c r="R46" s="1292" t="s">
        <v>324</v>
      </c>
      <c r="S46" s="88" t="s">
        <v>56</v>
      </c>
      <c r="T46" s="551">
        <f>T43*4</f>
        <v>161712</v>
      </c>
      <c r="U46" s="1518" t="s">
        <v>407</v>
      </c>
      <c r="V46" s="1616">
        <f>V43*4</f>
        <v>156272</v>
      </c>
      <c r="X46" s="1637"/>
      <c r="Y46" s="1592" t="str">
        <f>IF($A$22="TRUE","弱点","通常")</f>
        <v>通常</v>
      </c>
      <c r="Z46" s="77" t="s">
        <v>56</v>
      </c>
      <c r="AA46" s="554">
        <f>AA43*4</f>
        <v>88732</v>
      </c>
      <c r="AB46" s="1292" t="s">
        <v>324</v>
      </c>
      <c r="AC46" s="88" t="s">
        <v>56</v>
      </c>
      <c r="AD46" s="551">
        <f>AD43*4</f>
        <v>119788</v>
      </c>
      <c r="AE46" s="1518" t="s">
        <v>407</v>
      </c>
      <c r="AF46" s="1616">
        <f>AF43*4</f>
        <v>115756</v>
      </c>
    </row>
    <row r="47" spans="2:32" ht="14.25" thickBot="1">
      <c r="B47" s="997" t="s">
        <v>415</v>
      </c>
      <c r="C47" s="998"/>
      <c r="D47" s="9">
        <v>0</v>
      </c>
      <c r="E47" s="1006" t="s">
        <v>451</v>
      </c>
      <c r="F47" s="1007"/>
      <c r="G47" s="543">
        <f>MAX((MIN(100+SQRT($K$28)-SQRT($D$45),100)-5*G45)/100,0)</f>
        <v>1</v>
      </c>
      <c r="I47" s="1003" t="s">
        <v>1110</v>
      </c>
      <c r="J47" s="1004"/>
      <c r="K47" s="996"/>
      <c r="L47" s="342"/>
      <c r="M47" s="168"/>
      <c r="N47" s="1622"/>
      <c r="O47" s="1593"/>
      <c r="P47" s="44" t="s">
        <v>57</v>
      </c>
      <c r="Q47" s="555">
        <f>Q44*4</f>
        <v>126444</v>
      </c>
      <c r="R47" s="1293"/>
      <c r="S47" s="80" t="s">
        <v>57</v>
      </c>
      <c r="T47" s="682">
        <f>T44*4</f>
        <v>180680</v>
      </c>
      <c r="U47" s="1329"/>
      <c r="V47" s="1617"/>
      <c r="X47" s="1637"/>
      <c r="Y47" s="1593"/>
      <c r="Z47" s="44" t="s">
        <v>57</v>
      </c>
      <c r="AA47" s="555">
        <f>AA44*4</f>
        <v>93660</v>
      </c>
      <c r="AB47" s="1293"/>
      <c r="AC47" s="80" t="s">
        <v>57</v>
      </c>
      <c r="AD47" s="682">
        <f>AD44*4</f>
        <v>133836</v>
      </c>
      <c r="AE47" s="1329"/>
      <c r="AF47" s="1617"/>
    </row>
    <row r="48" spans="2:32" ht="14.25" thickBot="1">
      <c r="B48" s="1008" t="s">
        <v>642</v>
      </c>
      <c r="C48" s="1009"/>
      <c r="D48" s="567">
        <v>0.25</v>
      </c>
      <c r="E48" s="1145" t="s">
        <v>643</v>
      </c>
      <c r="F48" s="1146"/>
      <c r="G48" s="29">
        <f>1-(D48*(1-K46))</f>
        <v>0.75</v>
      </c>
      <c r="I48" s="1083" t="s">
        <v>652</v>
      </c>
      <c r="J48" s="1084"/>
      <c r="K48" s="493"/>
      <c r="L48" s="514" t="b">
        <v>0</v>
      </c>
      <c r="M48" s="514" t="str">
        <f>IF(L48=TRUE,"TRUE",IF(K48=1,"TRUE","FLASE"))</f>
        <v>FLASE</v>
      </c>
      <c r="N48" s="1623"/>
      <c r="O48" s="430" t="s">
        <v>55</v>
      </c>
      <c r="P48" s="15" t="s">
        <v>58</v>
      </c>
      <c r="Q48" s="556">
        <f>Q45*4</f>
        <v>133100</v>
      </c>
      <c r="R48" s="81" t="s">
        <v>55</v>
      </c>
      <c r="S48" s="87" t="s">
        <v>58</v>
      </c>
      <c r="T48" s="792">
        <f>T45*4</f>
        <v>199648</v>
      </c>
      <c r="U48" s="1301"/>
      <c r="V48" s="1618"/>
      <c r="X48" s="1638"/>
      <c r="Y48" s="430" t="s">
        <v>55</v>
      </c>
      <c r="Z48" s="15" t="s">
        <v>58</v>
      </c>
      <c r="AA48" s="556">
        <f>AA45*4</f>
        <v>98592</v>
      </c>
      <c r="AB48" s="81" t="s">
        <v>55</v>
      </c>
      <c r="AC48" s="87" t="s">
        <v>58</v>
      </c>
      <c r="AD48" s="792">
        <f>AD45*4</f>
        <v>147888</v>
      </c>
      <c r="AE48" s="1301"/>
      <c r="AF48" s="1618"/>
    </row>
    <row r="49" spans="4:13" ht="14.25" thickBot="1">
      <c r="D49" s="421">
        <f>$D$47*(1-($K$45+$B$31))</f>
        <v>0</v>
      </c>
      <c r="I49" s="994" t="s">
        <v>653</v>
      </c>
      <c r="J49" s="995"/>
      <c r="K49" s="494"/>
      <c r="L49" s="514" t="b">
        <v>0</v>
      </c>
      <c r="M49" s="514" t="str">
        <f>IF(L49=TRUE,"TRUE",IF(K49=1,"TRUE","FLASE"))</f>
        <v>FLASE</v>
      </c>
    </row>
    <row r="50" spans="2:19" ht="14.25" thickBot="1">
      <c r="B50" s="1078" t="s">
        <v>749</v>
      </c>
      <c r="C50" s="1079"/>
      <c r="D50" s="1080"/>
      <c r="I50" s="1002" t="s">
        <v>530</v>
      </c>
      <c r="J50" s="993"/>
      <c r="K50" s="225">
        <f>IF(M48="TRUE",1.04,IF(M49="TRUE",1.02,1))</f>
        <v>1</v>
      </c>
      <c r="L50" s="352"/>
      <c r="M50" s="352"/>
      <c r="N50" s="1062" t="s">
        <v>1050</v>
      </c>
      <c r="O50" s="1063"/>
      <c r="P50" s="1063"/>
      <c r="Q50" s="1064"/>
      <c r="R50" s="490" t="s">
        <v>113</v>
      </c>
      <c r="S50" s="486">
        <v>0.6</v>
      </c>
    </row>
    <row r="51" spans="2:19" ht="14.25" thickBot="1">
      <c r="B51" s="999" t="s">
        <v>551</v>
      </c>
      <c r="C51" s="1000"/>
      <c r="D51" s="1001"/>
      <c r="N51" s="1205" t="s">
        <v>1051</v>
      </c>
      <c r="O51" s="1206"/>
      <c r="P51" s="487">
        <v>1</v>
      </c>
      <c r="Q51" s="1115" t="s">
        <v>997</v>
      </c>
      <c r="R51" s="1116"/>
      <c r="S51" s="332">
        <v>1</v>
      </c>
    </row>
    <row r="52" spans="2:19" ht="14.25" customHeight="1" thickBot="1">
      <c r="B52" s="1142">
        <v>0</v>
      </c>
      <c r="C52" s="1143"/>
      <c r="D52" s="1144"/>
      <c r="N52" s="988" t="s">
        <v>107</v>
      </c>
      <c r="O52" s="77" t="s">
        <v>56</v>
      </c>
      <c r="P52" s="554">
        <f>MIN(INT(($R$4*P51*$Q$6)*(1+$B$33+$E$33+$B$52)*$V$6),ReadMe!$M$94)</f>
        <v>9660</v>
      </c>
      <c r="Q52" s="975" t="s">
        <v>406</v>
      </c>
      <c r="R52" s="194" t="s">
        <v>56</v>
      </c>
      <c r="S52" s="160">
        <f>MIN(INT(P52*$E$42),ReadMe!$M$94)</f>
        <v>13041</v>
      </c>
    </row>
    <row r="53" spans="14:19" ht="14.25" thickBot="1">
      <c r="N53" s="1051"/>
      <c r="O53" s="44" t="s">
        <v>57</v>
      </c>
      <c r="P53" s="555">
        <f>INT((P52+P54)/2)</f>
        <v>10197</v>
      </c>
      <c r="Q53" s="1069"/>
      <c r="R53" s="80" t="s">
        <v>57</v>
      </c>
      <c r="S53" s="161">
        <f>INT((S52+S54)/2)</f>
        <v>14571</v>
      </c>
    </row>
    <row r="54" spans="2:19" ht="14.25" thickBot="1">
      <c r="B54" s="1023" t="s">
        <v>64</v>
      </c>
      <c r="C54" s="1024"/>
      <c r="D54" s="1024"/>
      <c r="E54" s="1024"/>
      <c r="F54" s="1024"/>
      <c r="G54" s="1024"/>
      <c r="H54" s="1024"/>
      <c r="I54" s="1024"/>
      <c r="J54" s="1024"/>
      <c r="K54" s="1024"/>
      <c r="L54" s="1025"/>
      <c r="N54" s="989"/>
      <c r="O54" s="15" t="s">
        <v>58</v>
      </c>
      <c r="P54" s="556">
        <f>MIN(INT(($T$4*P51*$Q$6)*(1+$B$33+$E$33+$B$52)*$V$6),ReadMe!$M$94)</f>
        <v>10734</v>
      </c>
      <c r="Q54" s="1238"/>
      <c r="R54" s="268" t="s">
        <v>58</v>
      </c>
      <c r="S54" s="270">
        <f>MIN(INT(P54*$F$42),ReadMe!$M$94)</f>
        <v>16101</v>
      </c>
    </row>
    <row r="55" spans="2:19" ht="14.25" thickBot="1">
      <c r="B55" s="1018" t="s">
        <v>369</v>
      </c>
      <c r="C55" s="1020"/>
      <c r="D55" s="1020"/>
      <c r="E55" s="1020"/>
      <c r="F55" s="1020"/>
      <c r="G55" s="1020"/>
      <c r="H55" s="1020"/>
      <c r="I55" s="1020"/>
      <c r="J55" s="1020"/>
      <c r="K55" s="1020"/>
      <c r="L55" s="1016"/>
      <c r="M55" s="22"/>
      <c r="N55" s="1065" t="s">
        <v>127</v>
      </c>
      <c r="O55" s="1066"/>
      <c r="P55" s="1067"/>
      <c r="Q55" s="1035">
        <f>INT(P53*(1-$G$42)+S53*$G$42)</f>
        <v>12602</v>
      </c>
      <c r="R55" s="1027"/>
      <c r="S55" s="1028"/>
    </row>
    <row r="56" spans="2:19" ht="14.25" thickBot="1">
      <c r="B56" s="1017" t="s">
        <v>1147</v>
      </c>
      <c r="C56" s="1013"/>
      <c r="D56" s="1013"/>
      <c r="E56" s="1013"/>
      <c r="F56" s="1013"/>
      <c r="G56" s="1013"/>
      <c r="H56" s="1013"/>
      <c r="I56" s="1013"/>
      <c r="J56" s="1013"/>
      <c r="K56" s="1013"/>
      <c r="L56" s="1010"/>
      <c r="N56" s="1065" t="s">
        <v>407</v>
      </c>
      <c r="O56" s="1066"/>
      <c r="P56" s="1067"/>
      <c r="Q56" s="1035">
        <f>Q55*S51</f>
        <v>12602</v>
      </c>
      <c r="R56" s="1027"/>
      <c r="S56" s="1028"/>
    </row>
    <row r="57" spans="2:12" ht="13.5">
      <c r="B57" s="1017" t="s">
        <v>1166</v>
      </c>
      <c r="C57" s="1013"/>
      <c r="D57" s="1013"/>
      <c r="E57" s="1013"/>
      <c r="F57" s="1013"/>
      <c r="G57" s="1013"/>
      <c r="H57" s="1013"/>
      <c r="I57" s="1013"/>
      <c r="J57" s="1013"/>
      <c r="K57" s="1013"/>
      <c r="L57" s="1010"/>
    </row>
    <row r="58" spans="2:12" ht="14.25" thickBot="1">
      <c r="B58" s="1029" t="s">
        <v>1167</v>
      </c>
      <c r="C58" s="1031"/>
      <c r="D58" s="1031"/>
      <c r="E58" s="1031"/>
      <c r="F58" s="1031"/>
      <c r="G58" s="1031"/>
      <c r="H58" s="1031"/>
      <c r="I58" s="1031"/>
      <c r="J58" s="1031"/>
      <c r="K58" s="1031"/>
      <c r="L58" s="1022"/>
    </row>
    <row r="59" spans="2:12" ht="14.25" customHeight="1" thickBot="1">
      <c r="B59" s="86"/>
      <c r="C59" s="86"/>
      <c r="D59" s="86"/>
      <c r="E59" s="86"/>
      <c r="F59" s="86"/>
      <c r="G59" s="86"/>
      <c r="H59" s="86"/>
      <c r="I59" s="86"/>
      <c r="J59" s="86"/>
      <c r="K59" s="86"/>
      <c r="L59" s="86"/>
    </row>
    <row r="60" spans="2:12" ht="13.5" customHeight="1" thickBot="1">
      <c r="B60" s="1205" t="s">
        <v>1168</v>
      </c>
      <c r="C60" s="1254"/>
      <c r="D60" s="1254"/>
      <c r="E60" s="1254"/>
      <c r="F60" s="1254"/>
      <c r="G60" s="1254"/>
      <c r="H60" s="1254"/>
      <c r="I60" s="1254"/>
      <c r="J60" s="1254"/>
      <c r="K60" s="1254"/>
      <c r="L60" s="1255"/>
    </row>
    <row r="61" spans="2:12" ht="14.25" customHeight="1">
      <c r="B61" s="1259" t="s">
        <v>1169</v>
      </c>
      <c r="C61" s="1260"/>
      <c r="D61" s="1260"/>
      <c r="E61" s="1260"/>
      <c r="F61" s="1260"/>
      <c r="G61" s="1260"/>
      <c r="H61" s="1260"/>
      <c r="I61" s="1260"/>
      <c r="J61" s="1260"/>
      <c r="K61" s="1260"/>
      <c r="L61" s="1261"/>
    </row>
    <row r="62" spans="2:12" ht="13.5">
      <c r="B62" s="1256" t="s">
        <v>36</v>
      </c>
      <c r="C62" s="1257"/>
      <c r="D62" s="1257"/>
      <c r="E62" s="1257"/>
      <c r="F62" s="1257"/>
      <c r="G62" s="1257"/>
      <c r="H62" s="1257"/>
      <c r="I62" s="1257"/>
      <c r="J62" s="1257"/>
      <c r="K62" s="1257"/>
      <c r="L62" s="1258"/>
    </row>
    <row r="63" spans="2:12" ht="13.5">
      <c r="B63" s="1017" t="s">
        <v>511</v>
      </c>
      <c r="C63" s="1015"/>
      <c r="D63" s="1013"/>
      <c r="E63" s="1013"/>
      <c r="F63" s="1013"/>
      <c r="G63" s="1013"/>
      <c r="H63" s="1013"/>
      <c r="I63" s="1013"/>
      <c r="J63" s="1013"/>
      <c r="K63" s="1014"/>
      <c r="L63" s="1010"/>
    </row>
    <row r="64" spans="2:12" ht="14.25" thickBot="1">
      <c r="B64" s="1029" t="s">
        <v>1176</v>
      </c>
      <c r="C64" s="1030"/>
      <c r="D64" s="1031"/>
      <c r="E64" s="1031"/>
      <c r="F64" s="1031"/>
      <c r="G64" s="1031"/>
      <c r="H64" s="1031"/>
      <c r="I64" s="1031"/>
      <c r="J64" s="1031"/>
      <c r="K64" s="1026"/>
      <c r="L64" s="1022"/>
    </row>
  </sheetData>
  <sheetProtection/>
  <protectedRanges>
    <protectedRange sqref="F21:K24" name="範囲1_1_1"/>
    <protectedRange sqref="D45:D46 D48" name="範囲1_1_1_1"/>
    <protectedRange sqref="G12:K14" name="範囲1"/>
  </protectedRanges>
  <mergeCells count="170">
    <mergeCell ref="B52:D52"/>
    <mergeCell ref="B37:D37"/>
    <mergeCell ref="B48:C48"/>
    <mergeCell ref="E48:F48"/>
    <mergeCell ref="B50:D50"/>
    <mergeCell ref="B51:D51"/>
    <mergeCell ref="B46:C46"/>
    <mergeCell ref="E46:F46"/>
    <mergeCell ref="B45:C45"/>
    <mergeCell ref="E45:F45"/>
    <mergeCell ref="I50:J50"/>
    <mergeCell ref="B47:C47"/>
    <mergeCell ref="E47:F47"/>
    <mergeCell ref="I47:K47"/>
    <mergeCell ref="I48:J48"/>
    <mergeCell ref="I49:J49"/>
    <mergeCell ref="B38:C38"/>
    <mergeCell ref="B39:C39"/>
    <mergeCell ref="I43:K43"/>
    <mergeCell ref="B40:C40"/>
    <mergeCell ref="I39:J39"/>
    <mergeCell ref="I41:J41"/>
    <mergeCell ref="B41:D41"/>
    <mergeCell ref="B42:D42"/>
    <mergeCell ref="B43:D43"/>
    <mergeCell ref="E43:G43"/>
    <mergeCell ref="I35:K35"/>
    <mergeCell ref="I36:K36"/>
    <mergeCell ref="B35:D35"/>
    <mergeCell ref="B36:D36"/>
    <mergeCell ref="E33:F33"/>
    <mergeCell ref="AF46:AF48"/>
    <mergeCell ref="Y42:AB42"/>
    <mergeCell ref="O42:R42"/>
    <mergeCell ref="O43:O44"/>
    <mergeCell ref="AF43:AF45"/>
    <mergeCell ref="Y43:Y44"/>
    <mergeCell ref="AB43:AB44"/>
    <mergeCell ref="AE43:AE45"/>
    <mergeCell ref="AE46:AE48"/>
    <mergeCell ref="U43:U45"/>
    <mergeCell ref="F1:P1"/>
    <mergeCell ref="R2:T2"/>
    <mergeCell ref="N2:P2"/>
    <mergeCell ref="U9:U11"/>
    <mergeCell ref="R6:S6"/>
    <mergeCell ref="O9:O11"/>
    <mergeCell ref="R9:R11"/>
    <mergeCell ref="T6:U6"/>
    <mergeCell ref="N6:P6"/>
    <mergeCell ref="O8:R8"/>
    <mergeCell ref="Y8:AB8"/>
    <mergeCell ref="AB13:AB14"/>
    <mergeCell ref="V14:V15"/>
    <mergeCell ref="Y9:Y11"/>
    <mergeCell ref="X8:X48"/>
    <mergeCell ref="Y30:Y31"/>
    <mergeCell ref="AB30:AB31"/>
    <mergeCell ref="V43:V45"/>
    <mergeCell ref="Y16:AB16"/>
    <mergeCell ref="V9:V11"/>
    <mergeCell ref="Y22:AB22"/>
    <mergeCell ref="Y29:AB29"/>
    <mergeCell ref="Y46:Y47"/>
    <mergeCell ref="AB46:AB47"/>
    <mergeCell ref="Y38:Y40"/>
    <mergeCell ref="AB38:AB40"/>
    <mergeCell ref="Y37:AB37"/>
    <mergeCell ref="V30:V32"/>
    <mergeCell ref="V38:V40"/>
    <mergeCell ref="U14:U15"/>
    <mergeCell ref="U18:U19"/>
    <mergeCell ref="V18:V19"/>
    <mergeCell ref="T21:V21"/>
    <mergeCell ref="R43:R44"/>
    <mergeCell ref="O38:O40"/>
    <mergeCell ref="O33:O34"/>
    <mergeCell ref="R33:R34"/>
    <mergeCell ref="O16:R16"/>
    <mergeCell ref="R17:R18"/>
    <mergeCell ref="O21:S21"/>
    <mergeCell ref="O26:S26"/>
    <mergeCell ref="B63:L63"/>
    <mergeCell ref="B64:L64"/>
    <mergeCell ref="B56:L56"/>
    <mergeCell ref="B54:L54"/>
    <mergeCell ref="B60:L60"/>
    <mergeCell ref="B61:L61"/>
    <mergeCell ref="B62:L62"/>
    <mergeCell ref="B58:L58"/>
    <mergeCell ref="B57:L57"/>
    <mergeCell ref="B55:L55"/>
    <mergeCell ref="AF9:AF11"/>
    <mergeCell ref="Y12:AB12"/>
    <mergeCell ref="AE14:AE15"/>
    <mergeCell ref="AF14:AF15"/>
    <mergeCell ref="Y13:Y14"/>
    <mergeCell ref="AE9:AE11"/>
    <mergeCell ref="AB9:AB11"/>
    <mergeCell ref="AF18:AF19"/>
    <mergeCell ref="Y20:AC20"/>
    <mergeCell ref="Y21:AC21"/>
    <mergeCell ref="AE18:AE19"/>
    <mergeCell ref="AB17:AB18"/>
    <mergeCell ref="Y17:Y18"/>
    <mergeCell ref="AD21:AF21"/>
    <mergeCell ref="O27:S27"/>
    <mergeCell ref="O22:R22"/>
    <mergeCell ref="O23:O25"/>
    <mergeCell ref="R23:R25"/>
    <mergeCell ref="AF23:AF25"/>
    <mergeCell ref="Y26:AC26"/>
    <mergeCell ref="Y27:AC27"/>
    <mergeCell ref="T27:V27"/>
    <mergeCell ref="Y23:Y25"/>
    <mergeCell ref="AB23:AB25"/>
    <mergeCell ref="U23:U25"/>
    <mergeCell ref="V23:V25"/>
    <mergeCell ref="AD27:AF27"/>
    <mergeCell ref="AE23:AE25"/>
    <mergeCell ref="AF38:AF40"/>
    <mergeCell ref="AE38:AE40"/>
    <mergeCell ref="V33:V35"/>
    <mergeCell ref="O29:R29"/>
    <mergeCell ref="O30:O31"/>
    <mergeCell ref="R30:R31"/>
    <mergeCell ref="U30:U32"/>
    <mergeCell ref="R38:R40"/>
    <mergeCell ref="U38:U40"/>
    <mergeCell ref="U33:U35"/>
    <mergeCell ref="AF30:AF32"/>
    <mergeCell ref="AE30:AE32"/>
    <mergeCell ref="Y33:Y34"/>
    <mergeCell ref="AB33:AB34"/>
    <mergeCell ref="AE33:AE35"/>
    <mergeCell ref="AF33:AF35"/>
    <mergeCell ref="N50:Q50"/>
    <mergeCell ref="O46:O47"/>
    <mergeCell ref="R46:R47"/>
    <mergeCell ref="U46:U48"/>
    <mergeCell ref="N7:N48"/>
    <mergeCell ref="R13:R14"/>
    <mergeCell ref="O17:O18"/>
    <mergeCell ref="O12:R12"/>
    <mergeCell ref="O13:O14"/>
    <mergeCell ref="O20:S20"/>
    <mergeCell ref="V46:V48"/>
    <mergeCell ref="O37:R37"/>
    <mergeCell ref="B29:K29"/>
    <mergeCell ref="B30:D30"/>
    <mergeCell ref="E30:F30"/>
    <mergeCell ref="B31:D31"/>
    <mergeCell ref="E31:F31"/>
    <mergeCell ref="B32:D32"/>
    <mergeCell ref="E32:F32"/>
    <mergeCell ref="B33:D33"/>
    <mergeCell ref="Q56:S56"/>
    <mergeCell ref="Q51:R51"/>
    <mergeCell ref="N52:N54"/>
    <mergeCell ref="N55:P55"/>
    <mergeCell ref="N51:O51"/>
    <mergeCell ref="N56:P56"/>
    <mergeCell ref="Q55:S55"/>
    <mergeCell ref="Q52:Q54"/>
    <mergeCell ref="B2:C2"/>
    <mergeCell ref="B26:C26"/>
    <mergeCell ref="B17:C18"/>
    <mergeCell ref="B23:C23"/>
    <mergeCell ref="B4:D4"/>
    <mergeCell ref="D17:D18"/>
  </mergeCells>
  <printOptions/>
  <pageMargins left="0.75" right="0.75" top="1" bottom="1" header="0.512" footer="0.512"/>
  <pageSetup horizontalDpi="300" verticalDpi="300" orientation="portrait" paperSize="9" r:id="rId2"/>
  <ignoredErrors>
    <ignoredError sqref="G27:J27" formulaRange="1"/>
  </ignoredErrors>
  <legacyDrawing r:id="rId1"/>
</worksheet>
</file>

<file path=xl/worksheets/sheet15.xml><?xml version="1.0" encoding="utf-8"?>
<worksheet xmlns="http://schemas.openxmlformats.org/spreadsheetml/2006/main" xmlns:r="http://schemas.openxmlformats.org/officeDocument/2006/relationships">
  <dimension ref="A1:U84"/>
  <sheetViews>
    <sheetView workbookViewId="0" topLeftCell="A1">
      <selection activeCell="A1" sqref="A1"/>
    </sheetView>
  </sheetViews>
  <sheetFormatPr defaultColWidth="9.00390625" defaultRowHeight="13.5"/>
  <cols>
    <col min="1" max="1" width="2.625" style="0" customWidth="1"/>
    <col min="2" max="11" width="5.625" style="0" customWidth="1"/>
    <col min="12" max="13" width="2.625" style="0" customWidth="1"/>
  </cols>
  <sheetData>
    <row r="1" spans="6:16" ht="24.75" thickBot="1">
      <c r="F1" s="990" t="s">
        <v>125</v>
      </c>
      <c r="G1" s="990"/>
      <c r="H1" s="990"/>
      <c r="I1" s="990"/>
      <c r="J1" s="990"/>
      <c r="K1" s="990"/>
      <c r="L1" s="990"/>
      <c r="M1" s="990"/>
      <c r="N1" s="990"/>
      <c r="O1" s="990"/>
      <c r="P1" s="990"/>
    </row>
    <row r="2" spans="2:20" ht="14.25" thickBot="1">
      <c r="B2" s="1078" t="s">
        <v>306</v>
      </c>
      <c r="C2" s="1094"/>
      <c r="D2" s="2">
        <v>150</v>
      </c>
      <c r="E2" s="1"/>
      <c r="F2" s="3" t="s">
        <v>301</v>
      </c>
      <c r="G2" s="3" t="s">
        <v>115</v>
      </c>
      <c r="H2" s="3" t="s">
        <v>116</v>
      </c>
      <c r="I2" s="3" t="s">
        <v>118</v>
      </c>
      <c r="J2" s="3" t="s">
        <v>117</v>
      </c>
      <c r="K2" s="26" t="s">
        <v>430</v>
      </c>
      <c r="N2" s="991" t="s">
        <v>1002</v>
      </c>
      <c r="O2" s="992"/>
      <c r="P2" s="987"/>
      <c r="Q2" s="58"/>
      <c r="R2" s="991" t="s">
        <v>418</v>
      </c>
      <c r="S2" s="992"/>
      <c r="T2" s="987"/>
    </row>
    <row r="3" spans="2:20" ht="14.25" thickBot="1">
      <c r="B3" s="5" t="s">
        <v>40</v>
      </c>
      <c r="C3" s="569"/>
      <c r="D3" s="6">
        <f>((D2-1)*5+IF(D2&gt;=120,50,IF(D2&gt;=70,30,25)))-(G3+H3+J3+I3)</f>
        <v>0</v>
      </c>
      <c r="E3" s="324" t="s">
        <v>41</v>
      </c>
      <c r="F3" s="688"/>
      <c r="G3" s="688">
        <v>4</v>
      </c>
      <c r="H3" s="688">
        <v>4</v>
      </c>
      <c r="I3" s="688">
        <v>783</v>
      </c>
      <c r="J3" s="688">
        <v>4</v>
      </c>
      <c r="K3" s="325"/>
      <c r="N3" s="10" t="s">
        <v>69</v>
      </c>
      <c r="O3" s="11" t="s">
        <v>70</v>
      </c>
      <c r="P3" s="12" t="s">
        <v>71</v>
      </c>
      <c r="R3" s="10" t="s">
        <v>952</v>
      </c>
      <c r="S3" s="11" t="s">
        <v>953</v>
      </c>
      <c r="T3" s="12" t="s">
        <v>954</v>
      </c>
    </row>
    <row r="4" spans="2:20" ht="15" thickBot="1" thickTop="1">
      <c r="B4" s="497" t="s">
        <v>292</v>
      </c>
      <c r="C4" s="574"/>
      <c r="D4" s="617" t="s">
        <v>986</v>
      </c>
      <c r="E4" s="10" t="s">
        <v>1157</v>
      </c>
      <c r="F4" s="687"/>
      <c r="G4" s="687"/>
      <c r="H4" s="687"/>
      <c r="I4" s="687">
        <v>6</v>
      </c>
      <c r="J4" s="687"/>
      <c r="K4" s="223"/>
      <c r="N4" s="14">
        <f>P4*D27</f>
        <v>14485.1421</v>
      </c>
      <c r="O4" s="15">
        <f>(P4+N4)/2</f>
        <v>14866.33005</v>
      </c>
      <c r="P4" s="16">
        <f>$Q$4*($F$32*$D$23+INT(($F$32-$F$29)*$E$35)+INT($F$32*($K$45+$K$54-1)))/100</f>
        <v>15247.518</v>
      </c>
      <c r="Q4" s="421">
        <f>1*(4*$I$32+$J$32)</f>
        <v>4101</v>
      </c>
      <c r="R4" s="14">
        <f>N4*$G$51*(1-$G$48/100)</f>
        <v>10863.856575</v>
      </c>
      <c r="S4" s="15">
        <f>O4*$G$51*(1-$G$48/100)</f>
        <v>11149.7475375</v>
      </c>
      <c r="T4" s="16">
        <f>P4*$G$51*(1-$G$48/100)</f>
        <v>11435.638500000001</v>
      </c>
    </row>
    <row r="5" spans="2:17" ht="14.25" thickBot="1">
      <c r="B5" s="1" t="s">
        <v>1149</v>
      </c>
      <c r="C5" s="568"/>
      <c r="D5" s="2">
        <v>30</v>
      </c>
      <c r="E5" s="7" t="s">
        <v>1158</v>
      </c>
      <c r="F5" s="8"/>
      <c r="G5" s="8"/>
      <c r="H5" s="8"/>
      <c r="I5" s="8"/>
      <c r="J5" s="8">
        <v>6</v>
      </c>
      <c r="K5" s="9"/>
      <c r="N5" s="797">
        <f>IF(D4="火",1.25,IF(D4="毒",1.1,IF(OR(D4="雷",D4="氷"),0.75,1)))</f>
        <v>1</v>
      </c>
      <c r="O5" s="797">
        <f>IF(D4="毒",1.25,IF(D4="火",1.1,IF(OR(D4="雷",D4="氷"),0.75,1)))</f>
        <v>1</v>
      </c>
      <c r="P5" s="421">
        <f>IF(D4="氷",1.25,IF(D4="雷",1.1,IF(OR(D4="火",D4="毒"),0.75,1)))</f>
        <v>1</v>
      </c>
      <c r="Q5" s="421">
        <f>IF(D4="雷",1.25,IF(D4="氷",1.1,IF(OR(D4="火",D4="毒"),0.75,1)))</f>
        <v>1</v>
      </c>
    </row>
    <row r="6" spans="2:21" ht="14.25" thickBot="1">
      <c r="B6" s="7" t="s">
        <v>31</v>
      </c>
      <c r="C6" s="582"/>
      <c r="D6" s="618">
        <v>30</v>
      </c>
      <c r="E6" s="7" t="s">
        <v>1161</v>
      </c>
      <c r="F6" s="8"/>
      <c r="G6" s="8"/>
      <c r="H6" s="8"/>
      <c r="I6" s="8"/>
      <c r="J6" s="8"/>
      <c r="K6" s="9"/>
      <c r="N6" s="977" t="s">
        <v>1148</v>
      </c>
      <c r="O6" s="978"/>
      <c r="P6" s="978"/>
      <c r="Q6" s="978"/>
      <c r="R6" s="978"/>
      <c r="S6" s="978"/>
      <c r="T6" s="978"/>
      <c r="U6" s="979"/>
    </row>
    <row r="7" spans="2:21" ht="14.25" thickBot="1">
      <c r="B7" s="40" t="s">
        <v>1151</v>
      </c>
      <c r="C7" s="581"/>
      <c r="D7" s="619">
        <v>30</v>
      </c>
      <c r="E7" s="324" t="s">
        <v>1162</v>
      </c>
      <c r="F7" s="688"/>
      <c r="G7" s="688"/>
      <c r="H7" s="688"/>
      <c r="I7" s="688"/>
      <c r="J7" s="688"/>
      <c r="K7" s="325"/>
      <c r="N7" s="92" t="s">
        <v>119</v>
      </c>
      <c r="O7" s="93">
        <f>D5</f>
        <v>30</v>
      </c>
      <c r="P7" s="151" t="s">
        <v>104</v>
      </c>
      <c r="Q7" s="655">
        <f>(250+4*O7)/100</f>
        <v>3.7</v>
      </c>
      <c r="R7" s="1104" t="s">
        <v>199</v>
      </c>
      <c r="S7" s="1207"/>
      <c r="T7" s="508">
        <v>36</v>
      </c>
      <c r="U7" s="83"/>
    </row>
    <row r="8" spans="2:21" ht="14.25" thickTop="1">
      <c r="B8" s="40" t="s">
        <v>658</v>
      </c>
      <c r="C8" s="581"/>
      <c r="D8" s="619">
        <v>20</v>
      </c>
      <c r="E8" s="10" t="s">
        <v>42</v>
      </c>
      <c r="F8" s="8">
        <v>155</v>
      </c>
      <c r="G8" s="8"/>
      <c r="H8" s="8"/>
      <c r="I8" s="8">
        <v>7</v>
      </c>
      <c r="J8" s="8"/>
      <c r="K8" s="9"/>
      <c r="N8" s="988" t="s">
        <v>131</v>
      </c>
      <c r="O8" s="77" t="s">
        <v>56</v>
      </c>
      <c r="P8" s="554">
        <f>MIN(INT(($R$4*Q7)*(1+$B$37+$E$37+$B$55)*$D$29),ReadMe!$M$94)</f>
        <v>54264</v>
      </c>
      <c r="Q8" s="975" t="s">
        <v>406</v>
      </c>
      <c r="R8" s="194" t="s">
        <v>56</v>
      </c>
      <c r="S8" s="160">
        <f>MIN(INT(P8*$E$45),ReadMe!$M$94)</f>
        <v>73256</v>
      </c>
      <c r="T8" s="1432" t="s">
        <v>127</v>
      </c>
      <c r="U8" s="1408">
        <f>INT(P9*(1-$G$45)+S9*$G$45)</f>
        <v>64013</v>
      </c>
    </row>
    <row r="9" spans="2:21" ht="13.5">
      <c r="B9" s="7" t="s">
        <v>1154</v>
      </c>
      <c r="C9" s="582"/>
      <c r="D9" s="618">
        <v>30</v>
      </c>
      <c r="E9" s="7" t="s">
        <v>44</v>
      </c>
      <c r="F9" s="8">
        <v>18</v>
      </c>
      <c r="G9" s="8"/>
      <c r="H9" s="8"/>
      <c r="I9" s="8">
        <v>9</v>
      </c>
      <c r="J9" s="8"/>
      <c r="K9" s="9"/>
      <c r="N9" s="1051"/>
      <c r="O9" s="44" t="s">
        <v>57</v>
      </c>
      <c r="P9" s="555">
        <f>INT((P8+P10)/2)</f>
        <v>55692</v>
      </c>
      <c r="Q9" s="1069"/>
      <c r="R9" s="80" t="s">
        <v>57</v>
      </c>
      <c r="S9" s="161">
        <f>INT((S8+S10)/2)</f>
        <v>79468</v>
      </c>
      <c r="T9" s="1433"/>
      <c r="U9" s="1409"/>
    </row>
    <row r="10" spans="2:21" ht="14.25" thickBot="1">
      <c r="B10" s="7" t="s">
        <v>634</v>
      </c>
      <c r="C10" s="582"/>
      <c r="D10" s="618">
        <v>20</v>
      </c>
      <c r="E10" s="7" t="s">
        <v>45</v>
      </c>
      <c r="F10" s="8"/>
      <c r="G10" s="8">
        <v>10</v>
      </c>
      <c r="H10" s="8">
        <v>10</v>
      </c>
      <c r="I10" s="8">
        <v>20</v>
      </c>
      <c r="J10" s="8">
        <v>10</v>
      </c>
      <c r="K10" s="9"/>
      <c r="N10" s="989"/>
      <c r="O10" s="15" t="s">
        <v>58</v>
      </c>
      <c r="P10" s="556">
        <f>MIN(INT(($T$4*Q7)*(1+$B$37+$E$37+$B$55)*$D$29),ReadMe!$M$94)</f>
        <v>57121</v>
      </c>
      <c r="Q10" s="1238"/>
      <c r="R10" s="268" t="s">
        <v>58</v>
      </c>
      <c r="S10" s="270">
        <f>MIN(INT(P10*$F$45),ReadMe!$M$94)</f>
        <v>85681</v>
      </c>
      <c r="T10" s="1496"/>
      <c r="U10" s="1495"/>
    </row>
    <row r="11" spans="2:21" ht="14.25" thickBot="1">
      <c r="B11" s="14" t="s">
        <v>635</v>
      </c>
      <c r="C11" s="571"/>
      <c r="D11" s="516">
        <v>20</v>
      </c>
      <c r="E11" s="7" t="s">
        <v>46</v>
      </c>
      <c r="F11" s="8"/>
      <c r="G11" s="8"/>
      <c r="H11" s="8"/>
      <c r="I11" s="8"/>
      <c r="J11" s="8"/>
      <c r="K11" s="9"/>
      <c r="N11" s="1388" t="s">
        <v>1150</v>
      </c>
      <c r="O11" s="139" t="s">
        <v>56</v>
      </c>
      <c r="P11" s="149">
        <f>P8*4</f>
        <v>217056</v>
      </c>
      <c r="Q11" s="988" t="s">
        <v>67</v>
      </c>
      <c r="R11" s="1373"/>
      <c r="S11" s="1264">
        <f>P12*$T$7*$G$50</f>
        <v>9217872</v>
      </c>
      <c r="T11" s="1121"/>
      <c r="U11" s="1122"/>
    </row>
    <row r="12" spans="2:21" ht="13.5">
      <c r="B12" s="23"/>
      <c r="C12" s="22"/>
      <c r="D12" s="22"/>
      <c r="E12" s="7" t="s">
        <v>47</v>
      </c>
      <c r="F12" s="8">
        <v>2</v>
      </c>
      <c r="G12" s="8"/>
      <c r="H12" s="8"/>
      <c r="I12" s="8"/>
      <c r="J12" s="8"/>
      <c r="K12" s="9"/>
      <c r="N12" s="1322"/>
      <c r="O12" s="280" t="s">
        <v>140</v>
      </c>
      <c r="P12" s="522">
        <f>U8*4</f>
        <v>256052</v>
      </c>
      <c r="Q12" s="1051"/>
      <c r="R12" s="1052"/>
      <c r="S12" s="1265"/>
      <c r="T12" s="1123"/>
      <c r="U12" s="1124"/>
    </row>
    <row r="13" spans="2:21" ht="14.25" thickBot="1">
      <c r="B13" s="23"/>
      <c r="C13" s="22"/>
      <c r="D13" s="22"/>
      <c r="E13" s="7" t="s">
        <v>48</v>
      </c>
      <c r="F13" s="8"/>
      <c r="G13" s="8">
        <v>7</v>
      </c>
      <c r="H13" s="8">
        <v>7</v>
      </c>
      <c r="I13" s="8">
        <v>7</v>
      </c>
      <c r="J13" s="8">
        <v>7</v>
      </c>
      <c r="K13" s="9"/>
      <c r="N13" s="1646"/>
      <c r="O13" s="15" t="s">
        <v>58</v>
      </c>
      <c r="P13" s="150">
        <f>S10*4</f>
        <v>342724</v>
      </c>
      <c r="Q13" s="989"/>
      <c r="R13" s="1378"/>
      <c r="S13" s="1266"/>
      <c r="T13" s="1125"/>
      <c r="U13" s="1126"/>
    </row>
    <row r="14" spans="2:11" ht="14.25" thickBot="1">
      <c r="B14" s="23"/>
      <c r="C14" s="22"/>
      <c r="D14" s="22"/>
      <c r="E14" s="7" t="s">
        <v>49</v>
      </c>
      <c r="F14" s="8">
        <v>16</v>
      </c>
      <c r="G14" s="8"/>
      <c r="H14" s="8"/>
      <c r="I14" s="8">
        <v>9</v>
      </c>
      <c r="J14" s="8"/>
      <c r="K14" s="9">
        <v>1</v>
      </c>
    </row>
    <row r="15" spans="2:21" ht="14.25" thickBot="1">
      <c r="B15" s="141"/>
      <c r="C15" s="58"/>
      <c r="D15" s="58"/>
      <c r="E15" s="7" t="s">
        <v>390</v>
      </c>
      <c r="F15" s="8"/>
      <c r="G15" s="8"/>
      <c r="H15" s="8"/>
      <c r="I15" s="8">
        <v>22</v>
      </c>
      <c r="J15" s="8"/>
      <c r="K15" s="9"/>
      <c r="N15" s="977" t="s">
        <v>31</v>
      </c>
      <c r="O15" s="978"/>
      <c r="P15" s="978"/>
      <c r="Q15" s="978"/>
      <c r="R15" s="978"/>
      <c r="S15" s="978"/>
      <c r="T15" s="978"/>
      <c r="U15" s="979"/>
    </row>
    <row r="16" spans="2:21" ht="14.25" thickBot="1">
      <c r="B16" s="141"/>
      <c r="C16" s="58"/>
      <c r="D16" s="130"/>
      <c r="E16" s="7" t="s">
        <v>339</v>
      </c>
      <c r="F16" s="8"/>
      <c r="G16" s="8"/>
      <c r="H16" s="8"/>
      <c r="I16" s="8"/>
      <c r="J16" s="8"/>
      <c r="K16" s="9"/>
      <c r="N16" s="92" t="s">
        <v>307</v>
      </c>
      <c r="O16" s="83">
        <f>D6</f>
        <v>30</v>
      </c>
      <c r="P16" s="147" t="s">
        <v>104</v>
      </c>
      <c r="Q16" s="655">
        <f>(620+6*O16)/100</f>
        <v>8</v>
      </c>
      <c r="R16" s="1538" t="s">
        <v>199</v>
      </c>
      <c r="S16" s="1541"/>
      <c r="T16" s="153">
        <v>56</v>
      </c>
      <c r="U16" s="143"/>
    </row>
    <row r="17" spans="2:21" ht="13.5">
      <c r="B17" s="141"/>
      <c r="C17" s="58"/>
      <c r="D17" s="58"/>
      <c r="E17" s="7" t="s">
        <v>389</v>
      </c>
      <c r="F17" s="8"/>
      <c r="G17" s="8"/>
      <c r="H17" s="8"/>
      <c r="I17" s="8"/>
      <c r="J17" s="8"/>
      <c r="K17" s="9"/>
      <c r="N17" s="1208" t="s">
        <v>303</v>
      </c>
      <c r="O17" s="139" t="s">
        <v>56</v>
      </c>
      <c r="P17" s="149">
        <f>MIN(INT(P21*1.5),ReadMe!$M$94)</f>
        <v>175993</v>
      </c>
      <c r="Q17" s="1528" t="s">
        <v>303</v>
      </c>
      <c r="R17" s="88" t="s">
        <v>56</v>
      </c>
      <c r="S17" s="160">
        <f>MIN(INT(P17*$E$45),ReadMe!$M$94)</f>
        <v>237590</v>
      </c>
      <c r="T17" s="1518" t="s">
        <v>303</v>
      </c>
      <c r="U17" s="1408">
        <f>INT(P18*(1-$G$45)+S18*$G$45)</f>
        <v>207613</v>
      </c>
    </row>
    <row r="18" spans="2:21" ht="13.5" customHeight="1">
      <c r="B18" s="23"/>
      <c r="C18" s="22"/>
      <c r="D18" s="22"/>
      <c r="E18" s="7" t="s">
        <v>59</v>
      </c>
      <c r="F18" s="8"/>
      <c r="G18" s="8"/>
      <c r="H18" s="8"/>
      <c r="I18" s="8">
        <v>5</v>
      </c>
      <c r="J18" s="8"/>
      <c r="K18" s="9"/>
      <c r="N18" s="1209"/>
      <c r="O18" s="44" t="s">
        <v>57</v>
      </c>
      <c r="P18" s="63">
        <f>MIN(INT(P22*1.5),ReadMe!$M$94)</f>
        <v>180624</v>
      </c>
      <c r="Q18" s="1529"/>
      <c r="R18" s="80" t="s">
        <v>57</v>
      </c>
      <c r="S18" s="161">
        <f>INT((S17+S19)/2)</f>
        <v>257737</v>
      </c>
      <c r="T18" s="1329"/>
      <c r="U18" s="1409"/>
    </row>
    <row r="19" spans="2:21" ht="14.25" thickBot="1">
      <c r="B19" s="23"/>
      <c r="C19" s="22"/>
      <c r="D19" s="22"/>
      <c r="E19" s="7" t="s">
        <v>60</v>
      </c>
      <c r="F19" s="8">
        <v>8</v>
      </c>
      <c r="G19" s="8"/>
      <c r="H19" s="8"/>
      <c r="I19" s="8">
        <v>8</v>
      </c>
      <c r="J19" s="8"/>
      <c r="K19" s="9"/>
      <c r="N19" s="1210"/>
      <c r="O19" s="15" t="s">
        <v>58</v>
      </c>
      <c r="P19" s="150">
        <f>MIN(INT(P23*1.5),ReadMe!$M$94)</f>
        <v>185256</v>
      </c>
      <c r="Q19" s="183" t="s">
        <v>324</v>
      </c>
      <c r="R19" s="87" t="s">
        <v>58</v>
      </c>
      <c r="S19" s="162">
        <f>MIN(INT(P19*$F$45),ReadMe!$M$94)</f>
        <v>277884</v>
      </c>
      <c r="T19" s="184" t="s">
        <v>140</v>
      </c>
      <c r="U19" s="1409"/>
    </row>
    <row r="20" spans="2:21" ht="14.25" thickBot="1">
      <c r="B20" s="23"/>
      <c r="C20" s="22"/>
      <c r="D20" s="22"/>
      <c r="E20" s="7" t="s">
        <v>61</v>
      </c>
      <c r="F20" s="8">
        <v>5</v>
      </c>
      <c r="G20" s="8"/>
      <c r="H20" s="8"/>
      <c r="I20" s="8">
        <v>8</v>
      </c>
      <c r="J20" s="8"/>
      <c r="K20" s="9"/>
      <c r="N20" s="1205" t="s">
        <v>95</v>
      </c>
      <c r="O20" s="1254"/>
      <c r="P20" s="1254"/>
      <c r="Q20" s="1254"/>
      <c r="R20" s="1254"/>
      <c r="S20" s="1530">
        <f>U17*T16*$G$50</f>
        <v>11626328</v>
      </c>
      <c r="T20" s="1298"/>
      <c r="U20" s="1299"/>
    </row>
    <row r="21" spans="2:21" ht="13.5">
      <c r="B21" s="141"/>
      <c r="C21" s="58"/>
      <c r="D21" s="58"/>
      <c r="E21" s="7" t="s">
        <v>1059</v>
      </c>
      <c r="F21" s="8"/>
      <c r="G21" s="8">
        <v>3</v>
      </c>
      <c r="H21" s="8">
        <v>3</v>
      </c>
      <c r="I21" s="8">
        <v>3</v>
      </c>
      <c r="J21" s="8">
        <v>3</v>
      </c>
      <c r="K21" s="9"/>
      <c r="N21" s="988" t="s">
        <v>131</v>
      </c>
      <c r="O21" s="77" t="s">
        <v>56</v>
      </c>
      <c r="P21" s="554">
        <f>MIN(INT(($R$4*Q16)*(1+$B$37+$E$37+$B$55)*$D$29*$N$5),ReadMe!$M$94)</f>
        <v>117329</v>
      </c>
      <c r="Q21" s="975" t="s">
        <v>406</v>
      </c>
      <c r="R21" s="194" t="s">
        <v>56</v>
      </c>
      <c r="S21" s="160">
        <f>MIN(INT(P21*$E$45),ReadMe!$M$94)</f>
        <v>158394</v>
      </c>
      <c r="T21" s="1432" t="s">
        <v>127</v>
      </c>
      <c r="U21" s="1408">
        <f>INT(P22*(1-$G$45)+S22*$G$45)</f>
        <v>138409</v>
      </c>
    </row>
    <row r="22" spans="1:21" ht="13.5">
      <c r="A22" s="421"/>
      <c r="B22" s="141"/>
      <c r="C22" s="58"/>
      <c r="D22" s="58"/>
      <c r="E22" s="7" t="s">
        <v>1059</v>
      </c>
      <c r="F22" s="8">
        <v>1</v>
      </c>
      <c r="G22" s="8">
        <v>1</v>
      </c>
      <c r="H22" s="8">
        <v>1</v>
      </c>
      <c r="I22" s="8">
        <v>1</v>
      </c>
      <c r="J22" s="8">
        <v>1</v>
      </c>
      <c r="K22" s="9"/>
      <c r="N22" s="1051"/>
      <c r="O22" s="44" t="s">
        <v>57</v>
      </c>
      <c r="P22" s="555">
        <f>INT((P21+P23)/2)</f>
        <v>120416</v>
      </c>
      <c r="Q22" s="1069"/>
      <c r="R22" s="80" t="s">
        <v>57</v>
      </c>
      <c r="S22" s="161">
        <f>INT((S21+S23)/2)</f>
        <v>171825</v>
      </c>
      <c r="T22" s="1433"/>
      <c r="U22" s="1409"/>
    </row>
    <row r="23" spans="1:21" ht="14.25" thickBot="1">
      <c r="A23" s="421" t="b">
        <v>1</v>
      </c>
      <c r="B23" s="48"/>
      <c r="C23" s="520"/>
      <c r="D23" s="793">
        <f>IF(A24="true",1.3,1)</f>
        <v>1.3</v>
      </c>
      <c r="E23" s="7" t="s">
        <v>1059</v>
      </c>
      <c r="F23" s="8">
        <v>1</v>
      </c>
      <c r="G23" s="8">
        <v>1</v>
      </c>
      <c r="H23" s="8">
        <v>1</v>
      </c>
      <c r="I23" s="8">
        <v>1</v>
      </c>
      <c r="J23" s="8">
        <v>1</v>
      </c>
      <c r="K23" s="9"/>
      <c r="N23" s="989"/>
      <c r="O23" s="15" t="s">
        <v>58</v>
      </c>
      <c r="P23" s="556">
        <f>MIN(INT(($T$4*Q16)*(1+$B$37+$E$37+$B$55)*$D$29*$N$5),ReadMe!$M$94)</f>
        <v>123504</v>
      </c>
      <c r="Q23" s="1070"/>
      <c r="R23" s="87" t="s">
        <v>58</v>
      </c>
      <c r="S23" s="162">
        <f>MIN(INT(P23*$F$45),ReadMe!$M$94)</f>
        <v>185256</v>
      </c>
      <c r="T23" s="1433"/>
      <c r="U23" s="1409"/>
    </row>
    <row r="24" spans="1:21" ht="14.25" thickBot="1">
      <c r="A24" s="421" t="str">
        <f>IF(A23=TRUE,"TRUE",IF(D24=1,"TRUE","FLASE"))</f>
        <v>TRUE</v>
      </c>
      <c r="B24" s="499" t="s">
        <v>1156</v>
      </c>
      <c r="C24" s="592"/>
      <c r="D24" s="620"/>
      <c r="E24" s="7" t="s">
        <v>1059</v>
      </c>
      <c r="F24" s="8"/>
      <c r="G24" s="8"/>
      <c r="H24" s="8"/>
      <c r="I24" s="8"/>
      <c r="J24" s="8"/>
      <c r="K24" s="9"/>
      <c r="N24" s="1205" t="s">
        <v>94</v>
      </c>
      <c r="O24" s="1254"/>
      <c r="P24" s="1254"/>
      <c r="Q24" s="1254"/>
      <c r="R24" s="1254"/>
      <c r="S24" s="1530">
        <f>U21*T16*$G$50</f>
        <v>7750904</v>
      </c>
      <c r="T24" s="1298"/>
      <c r="U24" s="1299"/>
    </row>
    <row r="25" spans="2:11" ht="14.25" thickBot="1">
      <c r="B25" s="327" t="s">
        <v>1155</v>
      </c>
      <c r="C25" s="584"/>
      <c r="D25" s="20">
        <v>30</v>
      </c>
      <c r="E25" s="7" t="s">
        <v>970</v>
      </c>
      <c r="F25" s="8"/>
      <c r="G25" s="8">
        <v>2</v>
      </c>
      <c r="H25" s="8">
        <v>2</v>
      </c>
      <c r="I25" s="8">
        <v>2</v>
      </c>
      <c r="J25" s="8">
        <v>2</v>
      </c>
      <c r="K25" s="9"/>
    </row>
    <row r="26" spans="2:21" ht="14.25" thickBot="1">
      <c r="B26" s="1642" t="s">
        <v>301</v>
      </c>
      <c r="C26" s="1643"/>
      <c r="D26" s="409">
        <f>D25</f>
        <v>30</v>
      </c>
      <c r="E26" s="7" t="s">
        <v>120</v>
      </c>
      <c r="F26" s="8"/>
      <c r="G26" s="8">
        <v>3</v>
      </c>
      <c r="H26" s="8">
        <v>3</v>
      </c>
      <c r="I26" s="8">
        <v>3</v>
      </c>
      <c r="J26" s="8">
        <v>3</v>
      </c>
      <c r="K26" s="9"/>
      <c r="N26" s="977" t="s">
        <v>471</v>
      </c>
      <c r="O26" s="978"/>
      <c r="P26" s="978"/>
      <c r="Q26" s="978"/>
      <c r="R26" s="978"/>
      <c r="S26" s="978"/>
      <c r="T26" s="978"/>
      <c r="U26" s="979"/>
    </row>
    <row r="27" spans="2:21" ht="14.25" thickBot="1">
      <c r="B27" s="54" t="s">
        <v>113</v>
      </c>
      <c r="C27" s="598"/>
      <c r="D27" s="621">
        <f>IF(D25=0,75,80+ROUNDUP(D25/2,0))/100</f>
        <v>0.95</v>
      </c>
      <c r="E27" s="7" t="s">
        <v>1210</v>
      </c>
      <c r="F27" s="8"/>
      <c r="G27" s="8"/>
      <c r="H27" s="8"/>
      <c r="I27" s="8"/>
      <c r="J27" s="8"/>
      <c r="K27" s="9"/>
      <c r="N27" s="92" t="s">
        <v>307</v>
      </c>
      <c r="O27" s="83">
        <f>D7</f>
        <v>30</v>
      </c>
      <c r="P27" s="147" t="s">
        <v>104</v>
      </c>
      <c r="Q27" s="655">
        <f>(590+5*O27)/100</f>
        <v>7.4</v>
      </c>
      <c r="R27" s="1538" t="s">
        <v>199</v>
      </c>
      <c r="S27" s="1541"/>
      <c r="T27" s="153">
        <v>40</v>
      </c>
      <c r="U27" s="143"/>
    </row>
    <row r="28" spans="2:21" ht="13.5">
      <c r="B28" s="1644" t="s">
        <v>1152</v>
      </c>
      <c r="C28" s="1645"/>
      <c r="D28" s="20">
        <v>15</v>
      </c>
      <c r="E28" s="7" t="s">
        <v>121</v>
      </c>
      <c r="F28" s="8"/>
      <c r="G28" s="8"/>
      <c r="H28" s="8"/>
      <c r="I28" s="8"/>
      <c r="J28" s="8"/>
      <c r="K28" s="9"/>
      <c r="N28" s="1208" t="s">
        <v>303</v>
      </c>
      <c r="O28" s="139" t="s">
        <v>56</v>
      </c>
      <c r="P28" s="149">
        <f>MIN(INT(P32*1.5),ReadMe!$M$94)</f>
        <v>162793</v>
      </c>
      <c r="Q28" s="1528" t="s">
        <v>303</v>
      </c>
      <c r="R28" s="88" t="s">
        <v>56</v>
      </c>
      <c r="S28" s="160">
        <f>MIN(INT(P28*$E$45),ReadMe!$M$94)</f>
        <v>219770</v>
      </c>
      <c r="T28" s="1518" t="s">
        <v>303</v>
      </c>
      <c r="U28" s="1408">
        <f>INT(P29*(1-$G$45)+S29*$G$45)</f>
        <v>192042</v>
      </c>
    </row>
    <row r="29" spans="2:21" ht="14.25" customHeight="1" thickBot="1">
      <c r="B29" s="54" t="s">
        <v>105</v>
      </c>
      <c r="C29" s="598"/>
      <c r="D29" s="621">
        <f>(105+2*D28)/100</f>
        <v>1.35</v>
      </c>
      <c r="E29" s="7" t="s">
        <v>823</v>
      </c>
      <c r="F29" s="8">
        <v>20</v>
      </c>
      <c r="G29" s="8"/>
      <c r="H29" s="8"/>
      <c r="I29" s="8"/>
      <c r="J29" s="8"/>
      <c r="K29" s="9"/>
      <c r="N29" s="1209"/>
      <c r="O29" s="44" t="s">
        <v>57</v>
      </c>
      <c r="P29" s="63">
        <f>MIN(INT(P33*1.5),ReadMe!$M$94)</f>
        <v>167077</v>
      </c>
      <c r="Q29" s="1529"/>
      <c r="R29" s="80" t="s">
        <v>57</v>
      </c>
      <c r="S29" s="161">
        <f>INT((S28+S30)/2)</f>
        <v>238407</v>
      </c>
      <c r="T29" s="1329"/>
      <c r="U29" s="1409"/>
    </row>
    <row r="30" spans="2:21" ht="14.25" thickBot="1">
      <c r="B30" s="1245" t="s">
        <v>122</v>
      </c>
      <c r="C30" s="1246"/>
      <c r="D30" s="20">
        <v>9</v>
      </c>
      <c r="E30" s="235" t="s">
        <v>123</v>
      </c>
      <c r="F30" s="8">
        <v>30</v>
      </c>
      <c r="G30" s="41">
        <f>ROUNDDOWN(G3*D31%,0)</f>
        <v>0</v>
      </c>
      <c r="H30" s="41">
        <f>ROUNDDOWN(H3*D31%,0)</f>
        <v>0</v>
      </c>
      <c r="I30" s="41">
        <f>ROUNDDOWN(I3*D31%,0)</f>
        <v>39</v>
      </c>
      <c r="J30" s="41">
        <f>ROUNDDOWN(J3*D31%,0)</f>
        <v>0</v>
      </c>
      <c r="K30" s="9">
        <f>SUM(K6:K29)+D31</f>
        <v>6</v>
      </c>
      <c r="N30" s="1210"/>
      <c r="O30" s="15" t="s">
        <v>58</v>
      </c>
      <c r="P30" s="150">
        <f>MIN(INT(P34*1.5),ReadMe!$M$94)</f>
        <v>171363</v>
      </c>
      <c r="Q30" s="183" t="s">
        <v>324</v>
      </c>
      <c r="R30" s="87" t="s">
        <v>58</v>
      </c>
      <c r="S30" s="162">
        <f>MIN(INT(P30*$F$45),ReadMe!$M$94)</f>
        <v>257044</v>
      </c>
      <c r="T30" s="184" t="s">
        <v>140</v>
      </c>
      <c r="U30" s="1409"/>
    </row>
    <row r="31" spans="2:21" ht="14.25" thickBot="1">
      <c r="B31" s="14" t="s">
        <v>62</v>
      </c>
      <c r="C31" s="571"/>
      <c r="D31" s="47">
        <f>ROUNDUP(D30/2,0)</f>
        <v>5</v>
      </c>
      <c r="E31" s="7" t="s">
        <v>63</v>
      </c>
      <c r="F31" s="44">
        <f>D32+D26</f>
        <v>30</v>
      </c>
      <c r="G31" s="44">
        <f>SUM(G4:G29)</f>
        <v>27</v>
      </c>
      <c r="H31" s="44">
        <f>SUM(H4:H29)</f>
        <v>27</v>
      </c>
      <c r="I31" s="44">
        <f>SUM(I4:I29)</f>
        <v>111</v>
      </c>
      <c r="J31" s="44">
        <f>SUM(J4:J29)</f>
        <v>33</v>
      </c>
      <c r="K31" s="635">
        <f>SUM(K3:K30)+D32</f>
        <v>7</v>
      </c>
      <c r="N31" s="1205" t="s">
        <v>95</v>
      </c>
      <c r="O31" s="1254"/>
      <c r="P31" s="1254"/>
      <c r="Q31" s="1254"/>
      <c r="R31" s="1254"/>
      <c r="S31" s="1530">
        <f>U28*T27*$G$50</f>
        <v>7681680</v>
      </c>
      <c r="T31" s="1298"/>
      <c r="U31" s="1299"/>
    </row>
    <row r="32" spans="2:21" ht="14.25" thickBot="1">
      <c r="B32" s="17" t="s">
        <v>1024</v>
      </c>
      <c r="C32" s="210"/>
      <c r="D32" s="18">
        <v>0</v>
      </c>
      <c r="E32" s="14" t="s">
        <v>55</v>
      </c>
      <c r="F32" s="49">
        <f>SUM(F3:F31)</f>
        <v>286</v>
      </c>
      <c r="G32" s="49">
        <f>INT((G3+G30+G31)*(1+G35))</f>
        <v>31</v>
      </c>
      <c r="H32" s="49">
        <f>INT((H3+H30+H31)*(1+H35))</f>
        <v>31</v>
      </c>
      <c r="I32" s="49">
        <f>INT((I3+I30+I31)*(1+I35))</f>
        <v>1016</v>
      </c>
      <c r="J32" s="49">
        <f>INT((J3+J30+J31)*(1+J35))</f>
        <v>37</v>
      </c>
      <c r="K32" s="634">
        <f>I32*1.2+J32+K31</f>
        <v>1263.2</v>
      </c>
      <c r="N32" s="988" t="s">
        <v>131</v>
      </c>
      <c r="O32" s="77" t="s">
        <v>56</v>
      </c>
      <c r="P32" s="554">
        <f>MIN(INT(($R$4*Q27)*(1+$B$37+$E$37+$B$55)*$D$29*$N$5),ReadMe!$M$94)</f>
        <v>108529</v>
      </c>
      <c r="Q32" s="975" t="s">
        <v>406</v>
      </c>
      <c r="R32" s="194" t="s">
        <v>56</v>
      </c>
      <c r="S32" s="160">
        <f>MIN(INT(P32*$E$45),ReadMe!$M$94)</f>
        <v>146514</v>
      </c>
      <c r="T32" s="1432" t="s">
        <v>127</v>
      </c>
      <c r="U32" s="1408">
        <f>INT(P33*(1-$G$45)+S33*$G$45)</f>
        <v>128028</v>
      </c>
    </row>
    <row r="33" spans="2:21" ht="14.25" thickBot="1">
      <c r="B33" s="1068" t="s">
        <v>645</v>
      </c>
      <c r="C33" s="1036"/>
      <c r="D33" s="1036"/>
      <c r="E33" s="1544"/>
      <c r="F33" s="1544"/>
      <c r="G33" s="1544"/>
      <c r="H33" s="1544"/>
      <c r="I33" s="1544"/>
      <c r="J33" s="1544"/>
      <c r="K33" s="1545"/>
      <c r="N33" s="1051"/>
      <c r="O33" s="44" t="s">
        <v>57</v>
      </c>
      <c r="P33" s="555">
        <f>INT((P32+P34)/2)</f>
        <v>111385</v>
      </c>
      <c r="Q33" s="1069"/>
      <c r="R33" s="80" t="s">
        <v>57</v>
      </c>
      <c r="S33" s="161">
        <f>INT((S32+S34)/2)</f>
        <v>158938</v>
      </c>
      <c r="T33" s="1433"/>
      <c r="U33" s="1409"/>
    </row>
    <row r="34" spans="2:21" ht="14.25" thickBot="1">
      <c r="B34" s="1085" t="s">
        <v>443</v>
      </c>
      <c r="C34" s="1086"/>
      <c r="D34" s="1087"/>
      <c r="E34" s="1038" t="s">
        <v>646</v>
      </c>
      <c r="F34" s="1039"/>
      <c r="G34" s="1" t="s">
        <v>650</v>
      </c>
      <c r="H34" s="3" t="s">
        <v>649</v>
      </c>
      <c r="I34" s="3" t="s">
        <v>648</v>
      </c>
      <c r="J34" s="3" t="s">
        <v>647</v>
      </c>
      <c r="K34" s="4" t="s">
        <v>651</v>
      </c>
      <c r="N34" s="989"/>
      <c r="O34" s="15" t="s">
        <v>58</v>
      </c>
      <c r="P34" s="556">
        <f>MIN(INT(($T$4*Q27)*(1+$B$37+$E$37+$B$55)*$D$29*$N$5),ReadMe!$M$94)</f>
        <v>114242</v>
      </c>
      <c r="Q34" s="1070"/>
      <c r="R34" s="87" t="s">
        <v>58</v>
      </c>
      <c r="S34" s="162">
        <f>MIN(INT(P34*$F$45),ReadMe!$M$94)</f>
        <v>171363</v>
      </c>
      <c r="T34" s="1433"/>
      <c r="U34" s="1409"/>
    </row>
    <row r="35" spans="2:21" ht="14.25" thickBot="1">
      <c r="B35" s="1091">
        <v>0</v>
      </c>
      <c r="C35" s="1132"/>
      <c r="D35" s="1093"/>
      <c r="E35" s="1040">
        <v>0</v>
      </c>
      <c r="F35" s="1032"/>
      <c r="G35" s="575">
        <v>0</v>
      </c>
      <c r="H35" s="576">
        <v>0</v>
      </c>
      <c r="I35" s="576">
        <v>0.09</v>
      </c>
      <c r="J35" s="576">
        <v>0</v>
      </c>
      <c r="K35" s="577">
        <v>0</v>
      </c>
      <c r="N35" s="1205" t="s">
        <v>94</v>
      </c>
      <c r="O35" s="1254"/>
      <c r="P35" s="1254"/>
      <c r="Q35" s="1254"/>
      <c r="R35" s="1254"/>
      <c r="S35" s="1530">
        <f>U32*T27*$G$50</f>
        <v>5121120</v>
      </c>
      <c r="T35" s="1298"/>
      <c r="U35" s="1299"/>
    </row>
    <row r="36" spans="2:6" ht="14.25" thickBot="1">
      <c r="B36" s="1088" t="s">
        <v>644</v>
      </c>
      <c r="C36" s="1089"/>
      <c r="D36" s="1090"/>
      <c r="E36" s="984" t="s">
        <v>551</v>
      </c>
      <c r="F36" s="976"/>
    </row>
    <row r="37" spans="2:21" ht="13.5" customHeight="1" thickBot="1">
      <c r="B37" s="1091">
        <v>0</v>
      </c>
      <c r="C37" s="1092"/>
      <c r="D37" s="1093"/>
      <c r="E37" s="1040">
        <v>0</v>
      </c>
      <c r="F37" s="1032"/>
      <c r="N37" s="977" t="s">
        <v>472</v>
      </c>
      <c r="O37" s="978"/>
      <c r="P37" s="978"/>
      <c r="Q37" s="978"/>
      <c r="R37" s="978"/>
      <c r="S37" s="978"/>
      <c r="T37" s="978"/>
      <c r="U37" s="979"/>
    </row>
    <row r="38" spans="14:21" ht="14.25" thickBot="1">
      <c r="N38" s="92" t="s">
        <v>119</v>
      </c>
      <c r="O38" s="93">
        <f>D10</f>
        <v>20</v>
      </c>
      <c r="P38" s="151" t="s">
        <v>104</v>
      </c>
      <c r="Q38" s="655">
        <f>(500+4*O38)/100</f>
        <v>5.8</v>
      </c>
      <c r="R38" s="1104" t="s">
        <v>199</v>
      </c>
      <c r="S38" s="1207"/>
      <c r="T38" s="508">
        <v>50</v>
      </c>
      <c r="U38" s="83"/>
    </row>
    <row r="39" spans="2:21" ht="14.25" thickBot="1">
      <c r="B39" s="1047" t="s">
        <v>1120</v>
      </c>
      <c r="C39" s="1048"/>
      <c r="D39" s="1048"/>
      <c r="E39" s="535" t="s">
        <v>56</v>
      </c>
      <c r="F39" s="19" t="s">
        <v>58</v>
      </c>
      <c r="G39" s="536" t="s">
        <v>750</v>
      </c>
      <c r="I39" s="1041" t="s">
        <v>218</v>
      </c>
      <c r="J39" s="1042"/>
      <c r="K39" s="1043"/>
      <c r="N39" s="1208" t="s">
        <v>303</v>
      </c>
      <c r="O39" s="139" t="s">
        <v>56</v>
      </c>
      <c r="P39" s="149">
        <f>MIN(INT(P43*1.5),ReadMe!$M$94)</f>
        <v>127594</v>
      </c>
      <c r="Q39" s="1528" t="s">
        <v>303</v>
      </c>
      <c r="R39" s="88" t="s">
        <v>56</v>
      </c>
      <c r="S39" s="160">
        <f>MIN(INT(P39*$E$45),ReadMe!$M$94)</f>
        <v>172251</v>
      </c>
      <c r="T39" s="1518" t="s">
        <v>303</v>
      </c>
      <c r="U39" s="1408">
        <f>INT(P40*(1-$G$45)+S40*$G$45)</f>
        <v>150519</v>
      </c>
    </row>
    <row r="40" spans="2:21" ht="14.25" thickBot="1">
      <c r="B40" s="1133" t="s">
        <v>1122</v>
      </c>
      <c r="C40" s="1134"/>
      <c r="D40" s="1135"/>
      <c r="E40" s="36">
        <f>(120+ROUNDUP(D25/2,0))/100</f>
        <v>1.35</v>
      </c>
      <c r="F40" s="539">
        <v>1.5</v>
      </c>
      <c r="G40" s="260">
        <v>0.35</v>
      </c>
      <c r="I40" s="1041" t="s">
        <v>220</v>
      </c>
      <c r="J40" s="1053"/>
      <c r="K40" s="1054"/>
      <c r="N40" s="1209"/>
      <c r="O40" s="44" t="s">
        <v>57</v>
      </c>
      <c r="P40" s="63">
        <f>MIN(INT(P44*1.5),ReadMe!$M$94)</f>
        <v>130953</v>
      </c>
      <c r="Q40" s="1529"/>
      <c r="R40" s="80" t="s">
        <v>57</v>
      </c>
      <c r="S40" s="161">
        <f>INT((S39+S41)/2)</f>
        <v>186858</v>
      </c>
      <c r="T40" s="1329"/>
      <c r="U40" s="1409"/>
    </row>
    <row r="41" spans="2:21" ht="14.25" thickBot="1">
      <c r="B41" s="1051" t="s">
        <v>1117</v>
      </c>
      <c r="C41" s="1052"/>
      <c r="D41" s="548">
        <v>0</v>
      </c>
      <c r="E41" s="538"/>
      <c r="F41" s="537">
        <f>D41/100</f>
        <v>0</v>
      </c>
      <c r="G41" s="543">
        <f>IF(D41=0,0,(5+ROUNDUP(D41/2,0))/100)</f>
        <v>0</v>
      </c>
      <c r="I41" s="871" t="s">
        <v>217</v>
      </c>
      <c r="J41" s="224"/>
      <c r="K41" s="247">
        <v>0</v>
      </c>
      <c r="N41" s="1210"/>
      <c r="O41" s="15" t="s">
        <v>58</v>
      </c>
      <c r="P41" s="150">
        <f>MIN(INT(P45*1.5),ReadMe!$M$94)</f>
        <v>134311</v>
      </c>
      <c r="Q41" s="183" t="s">
        <v>324</v>
      </c>
      <c r="R41" s="87" t="s">
        <v>58</v>
      </c>
      <c r="S41" s="162">
        <f>MIN(INT(P41*$F$45),ReadMe!$M$94)</f>
        <v>201466</v>
      </c>
      <c r="T41" s="184" t="s">
        <v>140</v>
      </c>
      <c r="U41" s="1409"/>
    </row>
    <row r="42" spans="2:21" ht="14.25" thickBot="1">
      <c r="B42" s="1051" t="s">
        <v>1118</v>
      </c>
      <c r="C42" s="1052"/>
      <c r="D42" s="548">
        <v>0</v>
      </c>
      <c r="E42" s="538">
        <f>D42/100</f>
        <v>0</v>
      </c>
      <c r="F42" s="537"/>
      <c r="G42" s="543">
        <f>IF(D42=0,0,(5+ROUNDUP(D42/2,0))/100)</f>
        <v>0</v>
      </c>
      <c r="N42" s="1205" t="s">
        <v>95</v>
      </c>
      <c r="O42" s="1254"/>
      <c r="P42" s="1254"/>
      <c r="Q42" s="1254"/>
      <c r="R42" s="1254"/>
      <c r="S42" s="1530">
        <f>U39*T38*$G$50</f>
        <v>7525950</v>
      </c>
      <c r="T42" s="1298"/>
      <c r="U42" s="1299"/>
    </row>
    <row r="43" spans="1:21" ht="14.25" thickBot="1">
      <c r="A43" s="421" t="b">
        <v>0</v>
      </c>
      <c r="B43" s="1051" t="s">
        <v>1119</v>
      </c>
      <c r="C43" s="1052"/>
      <c r="D43" s="544"/>
      <c r="E43" s="538"/>
      <c r="F43" s="537">
        <f>IF(H43="true",0.15,0)</f>
        <v>0</v>
      </c>
      <c r="G43" s="543">
        <f>IF(H43="true",0.1,0)</f>
        <v>0</v>
      </c>
      <c r="H43" s="421" t="str">
        <f>IF(A43=TRUE,"TRUE",IF(D43=1,"TRUE","FLASE"))</f>
        <v>FLASE</v>
      </c>
      <c r="I43" s="1058" t="s">
        <v>1163</v>
      </c>
      <c r="J43" s="1059"/>
      <c r="K43" s="896"/>
      <c r="L43" s="421" t="b">
        <v>0</v>
      </c>
      <c r="M43" s="514" t="str">
        <f>IF(L43=TRUE,"TRUE",IF(K43=1,"TRUE","FLASE"))</f>
        <v>FLASE</v>
      </c>
      <c r="N43" s="988" t="s">
        <v>131</v>
      </c>
      <c r="O43" s="77" t="s">
        <v>56</v>
      </c>
      <c r="P43" s="554">
        <f>MIN(INT(($R$4*Q38)*(1+$B$37+$E$37+$B$55)*$D$29),ReadMe!$M$94)</f>
        <v>85063</v>
      </c>
      <c r="Q43" s="975" t="s">
        <v>406</v>
      </c>
      <c r="R43" s="194" t="s">
        <v>56</v>
      </c>
      <c r="S43" s="160">
        <f>MIN(INT(P43*$E$45),ReadMe!$M$94)</f>
        <v>114835</v>
      </c>
      <c r="T43" s="1432" t="s">
        <v>127</v>
      </c>
      <c r="U43" s="1408">
        <f>INT(P44*(1-$G$45)+S44*$G$45)</f>
        <v>100346</v>
      </c>
    </row>
    <row r="44" spans="2:21" ht="14.25" thickBot="1">
      <c r="B44" s="1055" t="s">
        <v>1121</v>
      </c>
      <c r="C44" s="1056"/>
      <c r="D44" s="1057"/>
      <c r="E44" s="545">
        <v>0</v>
      </c>
      <c r="F44" s="546">
        <v>0</v>
      </c>
      <c r="G44" s="547">
        <v>0</v>
      </c>
      <c r="I44" s="637" t="s">
        <v>787</v>
      </c>
      <c r="J44" s="893"/>
      <c r="K44" s="894">
        <v>0</v>
      </c>
      <c r="N44" s="1051"/>
      <c r="O44" s="44" t="s">
        <v>57</v>
      </c>
      <c r="P44" s="555">
        <f>INT((P43+P45)/2)</f>
        <v>87302</v>
      </c>
      <c r="Q44" s="1069"/>
      <c r="R44" s="80" t="s">
        <v>57</v>
      </c>
      <c r="S44" s="161">
        <f>INT((S43+S45)/2)</f>
        <v>124573</v>
      </c>
      <c r="T44" s="1433"/>
      <c r="U44" s="1409"/>
    </row>
    <row r="45" spans="2:21" ht="14.25" thickBot="1">
      <c r="B45" s="1044" t="s">
        <v>1123</v>
      </c>
      <c r="C45" s="1045"/>
      <c r="D45" s="1046"/>
      <c r="E45" s="540">
        <f>E40+MAX(E42,E43)+E44</f>
        <v>1.35</v>
      </c>
      <c r="F45" s="541">
        <f>F40+MAX(F41,F43)+F44</f>
        <v>1.5</v>
      </c>
      <c r="G45" s="542">
        <f>G40+MAX(G41,G42,G43)+G44</f>
        <v>0.35</v>
      </c>
      <c r="I45" s="1060" t="s">
        <v>530</v>
      </c>
      <c r="J45" s="1061"/>
      <c r="K45" s="895">
        <f>IF(M43="true",IF(K44&gt;0,10+ROUNDUP(K44/3,0),11)/100,0)</f>
        <v>0</v>
      </c>
      <c r="L45" s="342"/>
      <c r="M45" s="342"/>
      <c r="N45" s="989"/>
      <c r="O45" s="15" t="s">
        <v>58</v>
      </c>
      <c r="P45" s="556">
        <f>MIN(INT(($T$4*Q38)*(1+$B$37+$E$37+$B$55)*$D$29),ReadMe!$M$94)</f>
        <v>89541</v>
      </c>
      <c r="Q45" s="1070"/>
      <c r="R45" s="87" t="s">
        <v>58</v>
      </c>
      <c r="S45" s="162">
        <f>MIN(INT(P45*$F$45),ReadMe!$M$94)</f>
        <v>134311</v>
      </c>
      <c r="T45" s="1433"/>
      <c r="U45" s="1409"/>
    </row>
    <row r="46" spans="2:21" ht="14.25" thickBot="1">
      <c r="B46" s="1136" t="s">
        <v>135</v>
      </c>
      <c r="C46" s="1137"/>
      <c r="D46" s="1138"/>
      <c r="E46" s="1011">
        <f>(($E$45+$F$45)/2-1)*$G$45+1</f>
        <v>1.14875</v>
      </c>
      <c r="F46" s="1012"/>
      <c r="G46" s="1005"/>
      <c r="L46" s="342"/>
      <c r="M46" s="168"/>
      <c r="N46" s="1205" t="s">
        <v>94</v>
      </c>
      <c r="O46" s="1254"/>
      <c r="P46" s="1254"/>
      <c r="Q46" s="1254"/>
      <c r="R46" s="1254"/>
      <c r="S46" s="1530">
        <f>U43*T38*$G$50</f>
        <v>5017300</v>
      </c>
      <c r="T46" s="1298"/>
      <c r="U46" s="1299"/>
    </row>
    <row r="47" spans="9:11" ht="14.25" thickBot="1">
      <c r="I47" s="1075" t="s">
        <v>1188</v>
      </c>
      <c r="J47" s="1076"/>
      <c r="K47" s="1077"/>
    </row>
    <row r="48" spans="2:21" ht="14.25" thickBot="1">
      <c r="B48" s="1049" t="s">
        <v>416</v>
      </c>
      <c r="C48" s="1050"/>
      <c r="D48" s="566">
        <v>125</v>
      </c>
      <c r="E48" s="1147" t="s">
        <v>417</v>
      </c>
      <c r="F48" s="1148"/>
      <c r="G48" s="26">
        <f>IF(D2&gt;D48,0,$D$48-$D$2)</f>
        <v>0</v>
      </c>
      <c r="I48" s="439" t="s">
        <v>1189</v>
      </c>
      <c r="J48" s="572"/>
      <c r="K48" s="223">
        <v>0</v>
      </c>
      <c r="N48" s="977" t="s">
        <v>636</v>
      </c>
      <c r="O48" s="978"/>
      <c r="P48" s="978"/>
      <c r="Q48" s="978"/>
      <c r="R48" s="978"/>
      <c r="S48" s="978"/>
      <c r="T48" s="978"/>
      <c r="U48" s="979"/>
    </row>
    <row r="49" spans="2:21" ht="14.25" thickBot="1">
      <c r="B49" s="1006" t="s">
        <v>450</v>
      </c>
      <c r="C49" s="1007"/>
      <c r="D49" s="9">
        <v>12</v>
      </c>
      <c r="E49" s="1006" t="s">
        <v>452</v>
      </c>
      <c r="F49" s="1007"/>
      <c r="G49" s="665">
        <f>IF(G48&gt;0,"-",D49)</f>
        <v>12</v>
      </c>
      <c r="I49" s="440" t="s">
        <v>1190</v>
      </c>
      <c r="J49" s="573"/>
      <c r="K49" s="441">
        <f>IF(K48&gt;0,(K48+10)/100,0)</f>
        <v>0</v>
      </c>
      <c r="N49" s="92" t="s">
        <v>119</v>
      </c>
      <c r="O49" s="93">
        <f>D11</f>
        <v>20</v>
      </c>
      <c r="P49" s="151" t="s">
        <v>104</v>
      </c>
      <c r="Q49" s="655">
        <f>(700+5*O49)/100</f>
        <v>8</v>
      </c>
      <c r="R49" s="1104" t="s">
        <v>199</v>
      </c>
      <c r="S49" s="1207"/>
      <c r="T49" s="508">
        <v>46</v>
      </c>
      <c r="U49" s="509">
        <f>ROUNDUP(O49/4,0)/100</f>
        <v>0.05</v>
      </c>
    </row>
    <row r="50" spans="2:21" ht="14.25" thickBot="1">
      <c r="B50" s="997" t="s">
        <v>415</v>
      </c>
      <c r="C50" s="998"/>
      <c r="D50" s="9">
        <v>0</v>
      </c>
      <c r="E50" s="1006" t="s">
        <v>451</v>
      </c>
      <c r="F50" s="1007"/>
      <c r="G50" s="543">
        <f>MAX((MIN(100+SQRT($K$28)-SQRT($D$45),100)-5*G48)/100,0)</f>
        <v>1</v>
      </c>
      <c r="N50" s="1208" t="s">
        <v>303</v>
      </c>
      <c r="O50" s="139" t="s">
        <v>56</v>
      </c>
      <c r="P50" s="149">
        <f>MIN(INT(P54*1.5),ReadMe!$M$94)</f>
        <v>175993</v>
      </c>
      <c r="Q50" s="1528" t="s">
        <v>303</v>
      </c>
      <c r="R50" s="88" t="s">
        <v>56</v>
      </c>
      <c r="S50" s="160">
        <f>MIN(INT(P50*$E$45),ReadMe!$M$94)</f>
        <v>237590</v>
      </c>
      <c r="T50" s="1518" t="s">
        <v>303</v>
      </c>
      <c r="U50" s="1408">
        <f>INT(P51*(1-$G$45)+S51*$G$45)</f>
        <v>207613</v>
      </c>
    </row>
    <row r="51" spans="2:21" ht="14.25" thickBot="1">
      <c r="B51" s="1008" t="s">
        <v>642</v>
      </c>
      <c r="C51" s="1009"/>
      <c r="D51" s="567">
        <v>0.25</v>
      </c>
      <c r="E51" s="1145" t="s">
        <v>643</v>
      </c>
      <c r="F51" s="1146"/>
      <c r="G51" s="29">
        <f>1-(D51*(1-K49))</f>
        <v>0.75</v>
      </c>
      <c r="I51" s="1003" t="s">
        <v>1110</v>
      </c>
      <c r="J51" s="1004"/>
      <c r="K51" s="996"/>
      <c r="N51" s="1209"/>
      <c r="O51" s="44" t="s">
        <v>57</v>
      </c>
      <c r="P51" s="63">
        <f>MIN(INT(P55*1.5),ReadMe!$M$94)</f>
        <v>180624</v>
      </c>
      <c r="Q51" s="1529"/>
      <c r="R51" s="80" t="s">
        <v>57</v>
      </c>
      <c r="S51" s="161">
        <f>INT((S50+S52)/2)</f>
        <v>257737</v>
      </c>
      <c r="T51" s="1329"/>
      <c r="U51" s="1409"/>
    </row>
    <row r="52" spans="4:21" ht="14.25" thickBot="1">
      <c r="D52" s="421">
        <f>$D$50*(1-($K$49+$B$35))</f>
        <v>0</v>
      </c>
      <c r="I52" s="1083" t="s">
        <v>652</v>
      </c>
      <c r="J52" s="1084"/>
      <c r="K52" s="493"/>
      <c r="L52" s="514" t="b">
        <v>0</v>
      </c>
      <c r="M52" s="514" t="str">
        <f>IF(L52=TRUE,"TRUE",IF(K52=1,"TRUE","FLASE"))</f>
        <v>FLASE</v>
      </c>
      <c r="N52" s="1210"/>
      <c r="O52" s="15" t="s">
        <v>58</v>
      </c>
      <c r="P52" s="150">
        <f>MIN(INT(P56*1.5),ReadMe!$M$94)</f>
        <v>185256</v>
      </c>
      <c r="Q52" s="183" t="s">
        <v>324</v>
      </c>
      <c r="R52" s="87" t="s">
        <v>58</v>
      </c>
      <c r="S52" s="162">
        <f>MIN(INT(P52*$F$45),ReadMe!$M$94)</f>
        <v>277884</v>
      </c>
      <c r="T52" s="184" t="s">
        <v>140</v>
      </c>
      <c r="U52" s="1409"/>
    </row>
    <row r="53" spans="2:21" ht="14.25" thickBot="1">
      <c r="B53" s="1078" t="s">
        <v>749</v>
      </c>
      <c r="C53" s="1079"/>
      <c r="D53" s="1080"/>
      <c r="I53" s="994" t="s">
        <v>653</v>
      </c>
      <c r="J53" s="995"/>
      <c r="K53" s="494"/>
      <c r="L53" s="514" t="b">
        <v>0</v>
      </c>
      <c r="M53" s="514" t="str">
        <f>IF(L53=TRUE,"TRUE",IF(K53=1,"TRUE","FLASE"))</f>
        <v>FLASE</v>
      </c>
      <c r="N53" s="1205" t="s">
        <v>95</v>
      </c>
      <c r="O53" s="1254"/>
      <c r="P53" s="1254"/>
      <c r="Q53" s="1254"/>
      <c r="R53" s="1254"/>
      <c r="S53" s="1530">
        <f>U50*(1+U49)*T49*$G$50</f>
        <v>10027707.9</v>
      </c>
      <c r="T53" s="1298"/>
      <c r="U53" s="1299"/>
    </row>
    <row r="54" spans="2:21" ht="14.25" thickBot="1">
      <c r="B54" s="999" t="s">
        <v>551</v>
      </c>
      <c r="C54" s="1000"/>
      <c r="D54" s="1001"/>
      <c r="I54" s="1002" t="s">
        <v>530</v>
      </c>
      <c r="J54" s="993"/>
      <c r="K54" s="225">
        <f>IF(M52="TRUE",1.04,IF(M53="TRUE",1.02,1))</f>
        <v>1</v>
      </c>
      <c r="N54" s="988" t="s">
        <v>131</v>
      </c>
      <c r="O54" s="77" t="s">
        <v>56</v>
      </c>
      <c r="P54" s="554">
        <f>MIN(INT(($R$4*Q49)*(1+$B$37+$E$37+$B$55)*$D$29),ReadMe!$M$94)</f>
        <v>117329</v>
      </c>
      <c r="Q54" s="975" t="s">
        <v>406</v>
      </c>
      <c r="R54" s="194" t="s">
        <v>56</v>
      </c>
      <c r="S54" s="160">
        <f>MIN(INT(P54*$E$45),ReadMe!$M$94)</f>
        <v>158394</v>
      </c>
      <c r="T54" s="1432" t="s">
        <v>127</v>
      </c>
      <c r="U54" s="1408">
        <f>INT(P55*(1-$G$45)+S55*$G$45)</f>
        <v>138409</v>
      </c>
    </row>
    <row r="55" spans="2:21" ht="14.25" thickBot="1">
      <c r="B55" s="1142">
        <v>0</v>
      </c>
      <c r="C55" s="1143"/>
      <c r="D55" s="1144"/>
      <c r="N55" s="1051"/>
      <c r="O55" s="44" t="s">
        <v>57</v>
      </c>
      <c r="P55" s="555">
        <f>INT((P54+P56)/2)</f>
        <v>120416</v>
      </c>
      <c r="Q55" s="1069"/>
      <c r="R55" s="80" t="s">
        <v>57</v>
      </c>
      <c r="S55" s="161">
        <f>INT((S54+S56)/2)</f>
        <v>171825</v>
      </c>
      <c r="T55" s="1433"/>
      <c r="U55" s="1409"/>
    </row>
    <row r="56" spans="14:21" ht="14.25" thickBot="1">
      <c r="N56" s="989"/>
      <c r="O56" s="15" t="s">
        <v>58</v>
      </c>
      <c r="P56" s="556">
        <f>MIN(INT(($T$4*Q49)*(1+$B$37+$E$37+$B$55)*$D$29),ReadMe!$M$94)</f>
        <v>123504</v>
      </c>
      <c r="Q56" s="1070"/>
      <c r="R56" s="87" t="s">
        <v>58</v>
      </c>
      <c r="S56" s="162">
        <f>MIN(INT(P56*$F$45),ReadMe!$M$94)</f>
        <v>185256</v>
      </c>
      <c r="T56" s="1433"/>
      <c r="U56" s="1409"/>
    </row>
    <row r="57" spans="2:21" ht="14.25" thickBot="1">
      <c r="B57" s="1023" t="s">
        <v>64</v>
      </c>
      <c r="C57" s="1024"/>
      <c r="D57" s="1024"/>
      <c r="E57" s="1024"/>
      <c r="F57" s="1024"/>
      <c r="G57" s="1024"/>
      <c r="H57" s="1024"/>
      <c r="I57" s="1024"/>
      <c r="J57" s="1024"/>
      <c r="K57" s="1024"/>
      <c r="L57" s="1025"/>
      <c r="N57" s="1205" t="s">
        <v>94</v>
      </c>
      <c r="O57" s="1254"/>
      <c r="P57" s="1254"/>
      <c r="Q57" s="1254"/>
      <c r="R57" s="1254"/>
      <c r="S57" s="1530">
        <f>U54*(1+U49)*T49*$G$50</f>
        <v>6685154.7</v>
      </c>
      <c r="T57" s="1298"/>
      <c r="U57" s="1299"/>
    </row>
    <row r="58" spans="2:12" ht="14.25" thickBot="1">
      <c r="B58" s="1018" t="s">
        <v>617</v>
      </c>
      <c r="C58" s="1019"/>
      <c r="D58" s="1020"/>
      <c r="E58" s="1020"/>
      <c r="F58" s="1020"/>
      <c r="G58" s="1020"/>
      <c r="H58" s="1020"/>
      <c r="I58" s="1020"/>
      <c r="J58" s="1020"/>
      <c r="K58" s="1020"/>
      <c r="L58" s="1016"/>
    </row>
    <row r="59" spans="2:21" ht="14.25" thickBot="1">
      <c r="B59" s="1017" t="s">
        <v>618</v>
      </c>
      <c r="C59" s="1015"/>
      <c r="D59" s="1013"/>
      <c r="E59" s="1013"/>
      <c r="F59" s="1013"/>
      <c r="G59" s="1013"/>
      <c r="H59" s="1013"/>
      <c r="I59" s="1013"/>
      <c r="J59" s="1013"/>
      <c r="K59" s="1013"/>
      <c r="L59" s="1010"/>
      <c r="N59" s="977" t="s">
        <v>1153</v>
      </c>
      <c r="O59" s="978"/>
      <c r="P59" s="978"/>
      <c r="Q59" s="978"/>
      <c r="R59" s="978"/>
      <c r="S59" s="978"/>
      <c r="T59" s="978"/>
      <c r="U59" s="979"/>
    </row>
    <row r="60" spans="2:21" ht="13.5" customHeight="1" thickBot="1">
      <c r="B60" s="1017" t="s">
        <v>633</v>
      </c>
      <c r="C60" s="1015"/>
      <c r="D60" s="1013"/>
      <c r="E60" s="1013"/>
      <c r="F60" s="1013"/>
      <c r="G60" s="1013"/>
      <c r="H60" s="1013"/>
      <c r="I60" s="1013"/>
      <c r="J60" s="1013"/>
      <c r="K60" s="1013"/>
      <c r="L60" s="1010"/>
      <c r="N60" s="263" t="s">
        <v>307</v>
      </c>
      <c r="O60" s="200">
        <f>D8</f>
        <v>20</v>
      </c>
      <c r="P60" s="152" t="s">
        <v>104</v>
      </c>
      <c r="Q60" s="655">
        <f>(620+6*O60)/100</f>
        <v>7.4</v>
      </c>
      <c r="R60" s="1650" t="s">
        <v>199</v>
      </c>
      <c r="S60" s="1651"/>
      <c r="T60" s="153">
        <v>42</v>
      </c>
      <c r="U60" s="143"/>
    </row>
    <row r="61" spans="2:21" ht="13.5">
      <c r="B61" s="1017" t="s">
        <v>475</v>
      </c>
      <c r="C61" s="1015"/>
      <c r="D61" s="1013"/>
      <c r="E61" s="1013"/>
      <c r="F61" s="1013"/>
      <c r="G61" s="1013"/>
      <c r="H61" s="1013"/>
      <c r="I61" s="1013"/>
      <c r="J61" s="1013"/>
      <c r="K61" s="1013"/>
      <c r="L61" s="1010"/>
      <c r="N61" s="1208" t="s">
        <v>303</v>
      </c>
      <c r="O61" s="139" t="s">
        <v>56</v>
      </c>
      <c r="P61" s="149">
        <f>MIN(INT(P64*1.5),ReadMe!$M$94)</f>
        <v>162793</v>
      </c>
      <c r="Q61" s="1528" t="s">
        <v>303</v>
      </c>
      <c r="R61" s="88" t="s">
        <v>56</v>
      </c>
      <c r="S61" s="160">
        <f>MIN(INT(P61*$E$45),ReadMe!$M$94)</f>
        <v>219770</v>
      </c>
      <c r="T61" s="1518" t="s">
        <v>303</v>
      </c>
      <c r="U61" s="1408">
        <f>INT(P62*(1-$G$45)+S62*$G$45)</f>
        <v>192042</v>
      </c>
    </row>
    <row r="62" spans="2:21" ht="13.5">
      <c r="B62" s="1017" t="s">
        <v>476</v>
      </c>
      <c r="C62" s="1015"/>
      <c r="D62" s="1013"/>
      <c r="E62" s="1013"/>
      <c r="F62" s="1013"/>
      <c r="G62" s="1013"/>
      <c r="H62" s="1013"/>
      <c r="I62" s="1013"/>
      <c r="J62" s="1013"/>
      <c r="K62" s="1013"/>
      <c r="L62" s="1010"/>
      <c r="N62" s="1209"/>
      <c r="O62" s="44" t="s">
        <v>57</v>
      </c>
      <c r="P62" s="63">
        <f>MIN(INT(P65*1.5),ReadMe!$M$94)</f>
        <v>167077</v>
      </c>
      <c r="Q62" s="1529"/>
      <c r="R62" s="80" t="s">
        <v>57</v>
      </c>
      <c r="S62" s="161">
        <f>INT((S61+S63)/2)</f>
        <v>238407</v>
      </c>
      <c r="T62" s="1329"/>
      <c r="U62" s="1409"/>
    </row>
    <row r="63" spans="2:21" ht="14.25" thickBot="1">
      <c r="B63" s="1017" t="s">
        <v>938</v>
      </c>
      <c r="C63" s="1015"/>
      <c r="D63" s="1013"/>
      <c r="E63" s="1013"/>
      <c r="F63" s="1013"/>
      <c r="G63" s="1013"/>
      <c r="H63" s="1013"/>
      <c r="I63" s="1013"/>
      <c r="J63" s="1013"/>
      <c r="K63" s="1013"/>
      <c r="L63" s="1010"/>
      <c r="N63" s="1210"/>
      <c r="O63" s="15" t="s">
        <v>58</v>
      </c>
      <c r="P63" s="150">
        <f>MIN(INT(P66*1.5),ReadMe!$M$94)</f>
        <v>171363</v>
      </c>
      <c r="Q63" s="183" t="s">
        <v>324</v>
      </c>
      <c r="R63" s="87" t="s">
        <v>58</v>
      </c>
      <c r="S63" s="162">
        <f>MIN(INT(P63*$F$45),ReadMe!$M$94)</f>
        <v>257044</v>
      </c>
      <c r="T63" s="184" t="s">
        <v>140</v>
      </c>
      <c r="U63" s="1409"/>
    </row>
    <row r="64" spans="2:21" ht="14.25" thickBot="1">
      <c r="B64" s="1029" t="s">
        <v>939</v>
      </c>
      <c r="C64" s="1030"/>
      <c r="D64" s="1031"/>
      <c r="E64" s="1031"/>
      <c r="F64" s="1031"/>
      <c r="G64" s="1031"/>
      <c r="H64" s="1031"/>
      <c r="I64" s="1031"/>
      <c r="J64" s="1031"/>
      <c r="K64" s="1031"/>
      <c r="L64" s="1022"/>
      <c r="N64" s="988" t="s">
        <v>131</v>
      </c>
      <c r="O64" s="77" t="s">
        <v>56</v>
      </c>
      <c r="P64" s="554">
        <f>MIN(INT(($R$4*Q60)*(1+$B$37+$E$37+$B$55)*$D$29*$N$5),ReadMe!$M$94)</f>
        <v>108529</v>
      </c>
      <c r="Q64" s="975" t="s">
        <v>406</v>
      </c>
      <c r="R64" s="194" t="s">
        <v>56</v>
      </c>
      <c r="S64" s="160">
        <f>MIN(INT(P64*$E$45),ReadMe!$M$94)</f>
        <v>146514</v>
      </c>
      <c r="T64" s="1432" t="s">
        <v>127</v>
      </c>
      <c r="U64" s="1408">
        <f>INT(P65*(1-$G$45)+S65*$G$45)</f>
        <v>128028</v>
      </c>
    </row>
    <row r="65" spans="14:21" ht="13.5" customHeight="1">
      <c r="N65" s="1051"/>
      <c r="O65" s="44" t="s">
        <v>57</v>
      </c>
      <c r="P65" s="555">
        <f>INT((P64+P66)/2)</f>
        <v>111385</v>
      </c>
      <c r="Q65" s="1069"/>
      <c r="R65" s="80" t="s">
        <v>57</v>
      </c>
      <c r="S65" s="161">
        <f>INT((S64+S66)/2)</f>
        <v>158938</v>
      </c>
      <c r="T65" s="1433"/>
      <c r="U65" s="1409"/>
    </row>
    <row r="66" spans="14:21" ht="14.25" thickBot="1">
      <c r="N66" s="989"/>
      <c r="O66" s="15" t="s">
        <v>58</v>
      </c>
      <c r="P66" s="556">
        <f>MIN(INT(($T$4*Q60)*(1+$B$37+$E$37+$B$55)*$D$29*$N$5),ReadMe!$M$94)</f>
        <v>114242</v>
      </c>
      <c r="Q66" s="1070"/>
      <c r="R66" s="87" t="s">
        <v>58</v>
      </c>
      <c r="S66" s="162">
        <f>MIN(INT(P66*$F$45),ReadMe!$M$94)</f>
        <v>171363</v>
      </c>
      <c r="T66" s="1443"/>
      <c r="U66" s="1459"/>
    </row>
    <row r="67" ht="14.25" thickBot="1"/>
    <row r="68" spans="14:21" ht="14.25" thickBot="1">
      <c r="N68" s="977" t="s">
        <v>435</v>
      </c>
      <c r="O68" s="978"/>
      <c r="P68" s="978"/>
      <c r="Q68" s="978"/>
      <c r="R68" s="1196"/>
      <c r="S68" s="1196"/>
      <c r="T68" s="1196"/>
      <c r="U68" s="1271"/>
    </row>
    <row r="69" spans="14:21" ht="14.25" thickBot="1">
      <c r="N69" s="263" t="s">
        <v>124</v>
      </c>
      <c r="O69" s="200">
        <f>D9</f>
        <v>30</v>
      </c>
      <c r="P69" s="152" t="s">
        <v>104</v>
      </c>
      <c r="Q69" s="647">
        <f>(1200+20*O69)/100</f>
        <v>18</v>
      </c>
      <c r="R69" s="794" t="s">
        <v>1096</v>
      </c>
      <c r="S69" s="795">
        <f>(5+INT(O69/2))/100</f>
        <v>0.2</v>
      </c>
      <c r="T69" s="17" t="s">
        <v>548</v>
      </c>
      <c r="U69" s="749">
        <f>50-2*INT(O69/2)</f>
        <v>20</v>
      </c>
    </row>
    <row r="70" spans="14:21" ht="13.5">
      <c r="N70" s="1208" t="s">
        <v>303</v>
      </c>
      <c r="O70" s="139" t="s">
        <v>56</v>
      </c>
      <c r="P70" s="149">
        <f>MIN(INT(P73*1.5),ReadMe!$M$94)</f>
        <v>395986</v>
      </c>
      <c r="Q70" s="1528" t="s">
        <v>303</v>
      </c>
      <c r="R70" s="79" t="s">
        <v>56</v>
      </c>
      <c r="S70" s="663">
        <f>MIN(INT(P70*$E$45),ReadMe!$M$94)</f>
        <v>534581</v>
      </c>
      <c r="T70" s="1329" t="s">
        <v>303</v>
      </c>
      <c r="U70" s="1481">
        <f>INT(P71*(1-($G$45+S69))+S71*($G$45+S69))</f>
        <v>501834</v>
      </c>
    </row>
    <row r="71" spans="14:21" ht="13.5">
      <c r="N71" s="1209"/>
      <c r="O71" s="44" t="s">
        <v>57</v>
      </c>
      <c r="P71" s="63">
        <f>MIN(INT(P74*1.5),ReadMe!$M$94)</f>
        <v>406407</v>
      </c>
      <c r="Q71" s="1529"/>
      <c r="R71" s="80" t="s">
        <v>57</v>
      </c>
      <c r="S71" s="161">
        <f>INT((S70+S72)/2)</f>
        <v>579912</v>
      </c>
      <c r="T71" s="1329"/>
      <c r="U71" s="1409"/>
    </row>
    <row r="72" spans="14:21" ht="14.25" thickBot="1">
      <c r="N72" s="1210"/>
      <c r="O72" s="15" t="s">
        <v>58</v>
      </c>
      <c r="P72" s="150">
        <f>MIN(INT(P75*1.5),ReadMe!$M$94)</f>
        <v>416829</v>
      </c>
      <c r="Q72" s="183" t="s">
        <v>324</v>
      </c>
      <c r="R72" s="87" t="s">
        <v>58</v>
      </c>
      <c r="S72" s="162">
        <f>MIN(INT(P72*$F$45),ReadMe!$M$94)</f>
        <v>625243</v>
      </c>
      <c r="T72" s="184" t="s">
        <v>140</v>
      </c>
      <c r="U72" s="1409"/>
    </row>
    <row r="73" spans="14:21" ht="13.5" customHeight="1">
      <c r="N73" s="988" t="s">
        <v>131</v>
      </c>
      <c r="O73" s="77" t="s">
        <v>56</v>
      </c>
      <c r="P73" s="554">
        <f>MIN(INT(($R$4*Q69)*(1+$B$37+$E$37+$B$55)*$D$29),ReadMe!$M$94)</f>
        <v>263991</v>
      </c>
      <c r="Q73" s="975" t="s">
        <v>406</v>
      </c>
      <c r="R73" s="194" t="s">
        <v>56</v>
      </c>
      <c r="S73" s="160">
        <f>MIN(INT(P73*$E$45),ReadMe!$M$94)</f>
        <v>356387</v>
      </c>
      <c r="T73" s="1432" t="s">
        <v>127</v>
      </c>
      <c r="U73" s="1408">
        <f>INT(P74*(1-($G$45+S69))+S74*($G$45+S69))</f>
        <v>334556</v>
      </c>
    </row>
    <row r="74" spans="14:21" ht="13.5">
      <c r="N74" s="1051"/>
      <c r="O74" s="44" t="s">
        <v>57</v>
      </c>
      <c r="P74" s="555">
        <f>INT((P73+P75)/2)</f>
        <v>270938</v>
      </c>
      <c r="Q74" s="1069"/>
      <c r="R74" s="80" t="s">
        <v>57</v>
      </c>
      <c r="S74" s="161">
        <f>INT((S73+S75)/2)</f>
        <v>386608</v>
      </c>
      <c r="T74" s="1433"/>
      <c r="U74" s="1409"/>
    </row>
    <row r="75" spans="14:21" ht="14.25" thickBot="1">
      <c r="N75" s="989"/>
      <c r="O75" s="15" t="s">
        <v>58</v>
      </c>
      <c r="P75" s="556">
        <f>MIN(INT(($T$4*Q69)*(1+$B$37+$E$37+$B$55)*$D$29),ReadMe!$M$94)</f>
        <v>277886</v>
      </c>
      <c r="Q75" s="1070"/>
      <c r="R75" s="87" t="s">
        <v>58</v>
      </c>
      <c r="S75" s="162">
        <f>MIN(INT(P75*$F$45),ReadMe!$M$94)</f>
        <v>416829</v>
      </c>
      <c r="T75" s="1443"/>
      <c r="U75" s="1459"/>
    </row>
    <row r="76" ht="14.25" thickBot="1"/>
    <row r="77" spans="14:19" ht="14.25" thickBot="1">
      <c r="N77" s="1062" t="s">
        <v>1050</v>
      </c>
      <c r="O77" s="1063"/>
      <c r="P77" s="1213"/>
      <c r="Q77" s="1213"/>
      <c r="R77" s="1213"/>
      <c r="S77" s="1064"/>
    </row>
    <row r="78" spans="14:18" ht="13.5" customHeight="1" thickBot="1">
      <c r="N78" s="490" t="s">
        <v>113</v>
      </c>
      <c r="O78" s="487">
        <v>0.75</v>
      </c>
      <c r="P78" s="1068" t="s">
        <v>713</v>
      </c>
      <c r="Q78" s="1036"/>
      <c r="R78" s="332" t="s">
        <v>1194</v>
      </c>
    </row>
    <row r="79" spans="14:19" ht="14.25" thickBot="1">
      <c r="N79" s="1023" t="s">
        <v>959</v>
      </c>
      <c r="O79" s="1114"/>
      <c r="P79" s="796">
        <v>1</v>
      </c>
      <c r="Q79" s="1320" t="s">
        <v>997</v>
      </c>
      <c r="R79" s="1321"/>
      <c r="S79" s="332">
        <v>1</v>
      </c>
    </row>
    <row r="80" spans="14:19" ht="13.5">
      <c r="N80" s="988" t="s">
        <v>131</v>
      </c>
      <c r="O80" s="77" t="s">
        <v>56</v>
      </c>
      <c r="P80" s="560">
        <f>MIN(INT(($R$4*P79)*(1+$B$37+$E$37+$B$55)*$D$29*IF(R78="火",$N$5,IF(R78="毒",$O$5,IF(R78="氷",$P$5,IF(R78="雷",$Q$5))))),ReadMe!$M$94)</f>
        <v>14666</v>
      </c>
      <c r="Q80" s="1647" t="s">
        <v>406</v>
      </c>
      <c r="R80" s="194" t="s">
        <v>56</v>
      </c>
      <c r="S80" s="160">
        <f>MIN(INT(P80*$E$45),ReadMe!$M$94)</f>
        <v>19799</v>
      </c>
    </row>
    <row r="81" spans="14:19" ht="13.5">
      <c r="N81" s="1051"/>
      <c r="O81" s="44" t="s">
        <v>57</v>
      </c>
      <c r="P81" s="561">
        <f>INT((P80+P82)/2)</f>
        <v>15052</v>
      </c>
      <c r="Q81" s="1648"/>
      <c r="R81" s="80" t="s">
        <v>57</v>
      </c>
      <c r="S81" s="161">
        <f>INT((S80+S82)/2)</f>
        <v>21478</v>
      </c>
    </row>
    <row r="82" spans="14:19" ht="14.25" thickBot="1">
      <c r="N82" s="989"/>
      <c r="O82" s="15" t="s">
        <v>58</v>
      </c>
      <c r="P82" s="562">
        <f>MIN(INT(($T$4*P79)*(1+$B$37+$E$37+$B$55)*$D$29*IF(R78="火",$N$5,IF(R78="毒",$O$5,IF(R78="氷",$P$5,IF(R78="雷",$Q$5))))),ReadMe!$M$94)</f>
        <v>15438</v>
      </c>
      <c r="Q82" s="1649"/>
      <c r="R82" s="87" t="s">
        <v>58</v>
      </c>
      <c r="S82" s="162">
        <f>MIN(INT(P82*$F$45),ReadMe!$M$94)</f>
        <v>23157</v>
      </c>
    </row>
    <row r="83" spans="14:19" ht="14.25" thickBot="1">
      <c r="N83" s="985" t="s">
        <v>127</v>
      </c>
      <c r="O83" s="986"/>
      <c r="P83" s="980"/>
      <c r="Q83" s="1065">
        <f>INT(P81*(1-$G$41)+S81*$G$41)</f>
        <v>15052</v>
      </c>
      <c r="R83" s="1066"/>
      <c r="S83" s="1067"/>
    </row>
    <row r="84" spans="14:19" ht="14.25" thickBot="1">
      <c r="N84" s="1065" t="s">
        <v>407</v>
      </c>
      <c r="O84" s="1066"/>
      <c r="P84" s="1067"/>
      <c r="Q84" s="1294">
        <f>Q83*S79</f>
        <v>15052</v>
      </c>
      <c r="R84" s="1295"/>
      <c r="S84" s="1296"/>
    </row>
    <row r="88" ht="13.5" customHeight="1"/>
    <row r="93" ht="13.5" customHeight="1"/>
  </sheetData>
  <sheetProtection/>
  <protectedRanges>
    <protectedRange sqref="D48:D49 D51" name="範囲1"/>
  </protectedRanges>
  <mergeCells count="147">
    <mergeCell ref="T54:T56"/>
    <mergeCell ref="B61:L61"/>
    <mergeCell ref="N57:R57"/>
    <mergeCell ref="Q83:S83"/>
    <mergeCell ref="N80:N82"/>
    <mergeCell ref="Q80:Q82"/>
    <mergeCell ref="S57:U57"/>
    <mergeCell ref="U70:U72"/>
    <mergeCell ref="R60:S60"/>
    <mergeCell ref="N61:N63"/>
    <mergeCell ref="N84:P84"/>
    <mergeCell ref="Q84:S84"/>
    <mergeCell ref="F1:P1"/>
    <mergeCell ref="B57:L57"/>
    <mergeCell ref="N21:N23"/>
    <mergeCell ref="N8:N10"/>
    <mergeCell ref="N20:R20"/>
    <mergeCell ref="Q50:Q51"/>
    <mergeCell ref="B41:C41"/>
    <mergeCell ref="N83:P83"/>
    <mergeCell ref="B42:C42"/>
    <mergeCell ref="I47:K47"/>
    <mergeCell ref="N46:R46"/>
    <mergeCell ref="B63:L63"/>
    <mergeCell ref="B62:L62"/>
    <mergeCell ref="B60:L60"/>
    <mergeCell ref="B59:L59"/>
    <mergeCell ref="B43:C43"/>
    <mergeCell ref="B44:D44"/>
    <mergeCell ref="B45:D45"/>
    <mergeCell ref="T70:T71"/>
    <mergeCell ref="U64:U66"/>
    <mergeCell ref="U61:U63"/>
    <mergeCell ref="N68:U68"/>
    <mergeCell ref="N70:N72"/>
    <mergeCell ref="Q70:Q71"/>
    <mergeCell ref="U28:U30"/>
    <mergeCell ref="N31:R31"/>
    <mergeCell ref="U32:U34"/>
    <mergeCell ref="N35:R35"/>
    <mergeCell ref="S35:U35"/>
    <mergeCell ref="N32:N34"/>
    <mergeCell ref="Q32:Q34"/>
    <mergeCell ref="T32:T34"/>
    <mergeCell ref="B46:D46"/>
    <mergeCell ref="E46:G46"/>
    <mergeCell ref="I51:K51"/>
    <mergeCell ref="B58:L58"/>
    <mergeCell ref="I52:J52"/>
    <mergeCell ref="B48:C48"/>
    <mergeCell ref="E48:F48"/>
    <mergeCell ref="I53:J53"/>
    <mergeCell ref="B49:C49"/>
    <mergeCell ref="E49:F49"/>
    <mergeCell ref="N6:U6"/>
    <mergeCell ref="B64:L64"/>
    <mergeCell ref="N50:N52"/>
    <mergeCell ref="R27:S27"/>
    <mergeCell ref="N28:N30"/>
    <mergeCell ref="B37:D37"/>
    <mergeCell ref="E37:F37"/>
    <mergeCell ref="I39:K39"/>
    <mergeCell ref="U21:U23"/>
    <mergeCell ref="U17:U19"/>
    <mergeCell ref="R7:S7"/>
    <mergeCell ref="N11:N13"/>
    <mergeCell ref="Q8:Q10"/>
    <mergeCell ref="B30:C30"/>
    <mergeCell ref="Q11:R13"/>
    <mergeCell ref="S11:U13"/>
    <mergeCell ref="Q21:Q23"/>
    <mergeCell ref="T21:T23"/>
    <mergeCell ref="Q28:Q29"/>
    <mergeCell ref="T28:T29"/>
    <mergeCell ref="R38:S38"/>
    <mergeCell ref="N37:U37"/>
    <mergeCell ref="I40:K40"/>
    <mergeCell ref="B39:D39"/>
    <mergeCell ref="N39:N41"/>
    <mergeCell ref="Q39:Q40"/>
    <mergeCell ref="B40:D40"/>
    <mergeCell ref="T39:T40"/>
    <mergeCell ref="U39:U41"/>
    <mergeCell ref="U8:U10"/>
    <mergeCell ref="S20:U20"/>
    <mergeCell ref="T17:T18"/>
    <mergeCell ref="N15:U15"/>
    <mergeCell ref="Q17:Q18"/>
    <mergeCell ref="T8:T10"/>
    <mergeCell ref="P78:Q78"/>
    <mergeCell ref="N79:O79"/>
    <mergeCell ref="Q79:R79"/>
    <mergeCell ref="N77:S77"/>
    <mergeCell ref="Q73:Q75"/>
    <mergeCell ref="N53:R53"/>
    <mergeCell ref="N73:N75"/>
    <mergeCell ref="Q64:Q66"/>
    <mergeCell ref="Q54:Q56"/>
    <mergeCell ref="S53:U53"/>
    <mergeCell ref="N54:N56"/>
    <mergeCell ref="U54:U56"/>
    <mergeCell ref="U73:U75"/>
    <mergeCell ref="N59:U59"/>
    <mergeCell ref="T64:T66"/>
    <mergeCell ref="T73:T75"/>
    <mergeCell ref="T61:T62"/>
    <mergeCell ref="N64:N66"/>
    <mergeCell ref="Q61:Q62"/>
    <mergeCell ref="S46:U46"/>
    <mergeCell ref="T50:T51"/>
    <mergeCell ref="U50:U52"/>
    <mergeCell ref="U43:U45"/>
    <mergeCell ref="R49:S49"/>
    <mergeCell ref="N48:U48"/>
    <mergeCell ref="Q43:Q45"/>
    <mergeCell ref="T43:T45"/>
    <mergeCell ref="N43:N45"/>
    <mergeCell ref="E35:F35"/>
    <mergeCell ref="B36:D36"/>
    <mergeCell ref="E36:F36"/>
    <mergeCell ref="S31:U31"/>
    <mergeCell ref="B33:K33"/>
    <mergeCell ref="B34:D34"/>
    <mergeCell ref="E34:F34"/>
    <mergeCell ref="B35:D35"/>
    <mergeCell ref="N2:P2"/>
    <mergeCell ref="B2:C2"/>
    <mergeCell ref="B26:C26"/>
    <mergeCell ref="B28:C28"/>
    <mergeCell ref="N17:N19"/>
    <mergeCell ref="N24:R24"/>
    <mergeCell ref="R16:S16"/>
    <mergeCell ref="R2:T2"/>
    <mergeCell ref="S24:U24"/>
    <mergeCell ref="N26:U26"/>
    <mergeCell ref="I54:J54"/>
    <mergeCell ref="B50:C50"/>
    <mergeCell ref="E50:F50"/>
    <mergeCell ref="B55:D55"/>
    <mergeCell ref="B51:C51"/>
    <mergeCell ref="E51:F51"/>
    <mergeCell ref="B53:D53"/>
    <mergeCell ref="B54:D54"/>
    <mergeCell ref="I43:J43"/>
    <mergeCell ref="I45:J45"/>
    <mergeCell ref="N42:R42"/>
    <mergeCell ref="S42:U42"/>
  </mergeCells>
  <printOptions/>
  <pageMargins left="0.75" right="0.75" top="1" bottom="1" header="0.512" footer="0.512"/>
  <pageSetup horizontalDpi="300" verticalDpi="300" orientation="portrait" paperSize="9" r:id="rId2"/>
  <ignoredErrors>
    <ignoredError sqref="G31:J31" formulaRange="1"/>
  </ignoredErrors>
  <legacyDrawing r:id="rId1"/>
</worksheet>
</file>

<file path=xl/worksheets/sheet16.xml><?xml version="1.0" encoding="utf-8"?>
<worksheet xmlns="http://schemas.openxmlformats.org/spreadsheetml/2006/main" xmlns:r="http://schemas.openxmlformats.org/officeDocument/2006/relationships">
  <dimension ref="A1:X61"/>
  <sheetViews>
    <sheetView workbookViewId="0" topLeftCell="A1">
      <selection activeCell="A1" sqref="A1"/>
    </sheetView>
  </sheetViews>
  <sheetFormatPr defaultColWidth="9.00390625" defaultRowHeight="13.5"/>
  <cols>
    <col min="1" max="1" width="2.625" style="342" customWidth="1"/>
    <col min="2" max="11" width="5.625" style="0" customWidth="1"/>
    <col min="12" max="13" width="2.625" style="0" customWidth="1"/>
    <col min="22" max="22" width="1.625" style="0" customWidth="1"/>
    <col min="23" max="23" width="9.50390625" style="0" bestFit="1" customWidth="1"/>
  </cols>
  <sheetData>
    <row r="1" spans="6:16" ht="24.75" thickBot="1">
      <c r="F1" s="990" t="s">
        <v>173</v>
      </c>
      <c r="G1" s="990"/>
      <c r="H1" s="990"/>
      <c r="I1" s="990"/>
      <c r="J1" s="990"/>
      <c r="K1" s="990"/>
      <c r="L1" s="990"/>
      <c r="M1" s="990"/>
      <c r="N1" s="990"/>
      <c r="O1" s="990"/>
      <c r="P1" s="990"/>
    </row>
    <row r="2" spans="2:24" ht="14.25" thickBot="1">
      <c r="B2" s="1078" t="s">
        <v>306</v>
      </c>
      <c r="C2" s="1094"/>
      <c r="D2" s="2">
        <v>150</v>
      </c>
      <c r="E2" s="1"/>
      <c r="F2" s="3" t="s">
        <v>301</v>
      </c>
      <c r="G2" s="3" t="s">
        <v>150</v>
      </c>
      <c r="H2" s="3" t="s">
        <v>151</v>
      </c>
      <c r="I2" s="3" t="s">
        <v>152</v>
      </c>
      <c r="J2" s="3" t="s">
        <v>153</v>
      </c>
      <c r="K2" s="4" t="s">
        <v>430</v>
      </c>
      <c r="N2" s="991" t="s">
        <v>104</v>
      </c>
      <c r="O2" s="992"/>
      <c r="P2" s="987"/>
      <c r="Q2" s="58"/>
      <c r="R2" s="991" t="s">
        <v>418</v>
      </c>
      <c r="S2" s="992"/>
      <c r="T2" s="987"/>
      <c r="W2" s="1023" t="s">
        <v>1163</v>
      </c>
      <c r="X2" s="1025"/>
    </row>
    <row r="3" spans="2:24" ht="14.25" thickBot="1">
      <c r="B3" s="5" t="s">
        <v>40</v>
      </c>
      <c r="C3" s="569"/>
      <c r="D3" s="6">
        <f>((D2-1)*5+IF(D2&gt;=120,35,IF(D2&gt;=70,30,25)))-(G3+H3+J3+I3)</f>
        <v>0</v>
      </c>
      <c r="E3" s="7" t="s">
        <v>41</v>
      </c>
      <c r="F3" s="8"/>
      <c r="G3" s="8">
        <v>4</v>
      </c>
      <c r="H3" s="8">
        <v>4</v>
      </c>
      <c r="I3" s="8">
        <v>768</v>
      </c>
      <c r="J3" s="8">
        <v>4</v>
      </c>
      <c r="K3" s="9"/>
      <c r="N3" s="10" t="s">
        <v>69</v>
      </c>
      <c r="O3" s="11" t="s">
        <v>70</v>
      </c>
      <c r="P3" s="12" t="s">
        <v>71</v>
      </c>
      <c r="R3" s="10" t="s">
        <v>69</v>
      </c>
      <c r="S3" s="11" t="s">
        <v>70</v>
      </c>
      <c r="T3" s="12" t="s">
        <v>71</v>
      </c>
      <c r="W3" s="1341" t="s">
        <v>1164</v>
      </c>
      <c r="X3" s="1591"/>
    </row>
    <row r="4" spans="2:24" ht="14.25" thickBot="1">
      <c r="B4" s="1023" t="s">
        <v>909</v>
      </c>
      <c r="C4" s="1024"/>
      <c r="D4" s="1025"/>
      <c r="E4" s="43" t="s">
        <v>42</v>
      </c>
      <c r="F4" s="8">
        <v>155</v>
      </c>
      <c r="G4" s="8"/>
      <c r="H4" s="8"/>
      <c r="I4" s="8">
        <v>7</v>
      </c>
      <c r="J4" s="8"/>
      <c r="K4" s="9"/>
      <c r="N4" s="14">
        <f>P4*(0.25+0.5)</f>
        <v>9477.630000000001</v>
      </c>
      <c r="O4" s="15">
        <f>(P4+N4)/2</f>
        <v>11057.235</v>
      </c>
      <c r="P4" s="16">
        <f>$Q$4*($F$28+INT(($F$28-$F$25)*$E$31)+INT($F$28*($K$44+$D$25-1)))/100</f>
        <v>12636.84</v>
      </c>
      <c r="Q4" s="421">
        <f>1*(4*$I$28+$J$28)</f>
        <v>3999</v>
      </c>
      <c r="R4" s="14">
        <f aca="true" t="shared" si="0" ref="R4:T5">N4*$G$47*(1-$G$44/100)</f>
        <v>7108.222500000001</v>
      </c>
      <c r="S4" s="15">
        <f t="shared" si="0"/>
        <v>8292.92625</v>
      </c>
      <c r="T4" s="16">
        <f t="shared" si="0"/>
        <v>9477.630000000001</v>
      </c>
      <c r="W4" s="1" t="s">
        <v>51</v>
      </c>
      <c r="X4" s="519">
        <f>IF(D10&gt;0,(40+D10*2)/100,0)</f>
        <v>0.96</v>
      </c>
    </row>
    <row r="5" spans="1:24" ht="14.25" thickBot="1">
      <c r="A5" s="421">
        <f>MAX(D5-K35,4)</f>
        <v>6</v>
      </c>
      <c r="B5" s="140" t="s">
        <v>43</v>
      </c>
      <c r="C5" s="869"/>
      <c r="D5" s="870">
        <v>6</v>
      </c>
      <c r="E5" s="43" t="s">
        <v>44</v>
      </c>
      <c r="F5" s="8">
        <v>18</v>
      </c>
      <c r="G5" s="8"/>
      <c r="H5" s="8"/>
      <c r="I5" s="8">
        <v>9</v>
      </c>
      <c r="J5" s="8"/>
      <c r="K5" s="9"/>
      <c r="N5" s="421">
        <f>P5*(0.25+0.5)</f>
        <v>9477.630000000001</v>
      </c>
      <c r="O5" s="421">
        <f>(P5+N5)/2</f>
        <v>11057.235</v>
      </c>
      <c r="P5" s="421">
        <f>$Q$4*($F$28+INT(($F$28-$F$25)*$E$31)+INT($F$28*($K$44+IF($A$24="true",$D$25-0.2,$D$25)-1)))/100</f>
        <v>12636.84</v>
      </c>
      <c r="Q5" s="421"/>
      <c r="R5" s="421">
        <f t="shared" si="0"/>
        <v>7108.222500000001</v>
      </c>
      <c r="S5" s="421">
        <f t="shared" si="0"/>
        <v>8292.92625</v>
      </c>
      <c r="T5" s="952">
        <f t="shared" si="0"/>
        <v>9477.630000000001</v>
      </c>
      <c r="W5" s="7" t="s">
        <v>979</v>
      </c>
      <c r="X5" s="45" t="s">
        <v>885</v>
      </c>
    </row>
    <row r="6" spans="2:24" ht="14.25" thickBot="1">
      <c r="B6" s="781" t="s">
        <v>179</v>
      </c>
      <c r="C6" s="863"/>
      <c r="D6" s="223">
        <f>10</f>
        <v>10</v>
      </c>
      <c r="E6" s="43" t="s">
        <v>45</v>
      </c>
      <c r="F6" s="8"/>
      <c r="G6" s="8">
        <v>10</v>
      </c>
      <c r="H6" s="8">
        <v>10</v>
      </c>
      <c r="I6" s="8">
        <v>20</v>
      </c>
      <c r="J6" s="8">
        <v>10</v>
      </c>
      <c r="K6" s="9"/>
      <c r="N6" s="977" t="str">
        <f>IF(D7&gt;0,"フィニッシュブロー","デスブロー")</f>
        <v>フィニッシュブロー</v>
      </c>
      <c r="O6" s="978"/>
      <c r="P6" s="978"/>
      <c r="Q6" s="978"/>
      <c r="R6" s="978"/>
      <c r="S6" s="978"/>
      <c r="T6" s="978"/>
      <c r="U6" s="979"/>
      <c r="W6" s="14" t="s">
        <v>1165</v>
      </c>
      <c r="X6" s="868" t="s">
        <v>885</v>
      </c>
    </row>
    <row r="7" spans="2:21" ht="14.25" thickBot="1">
      <c r="B7" s="531" t="s">
        <v>174</v>
      </c>
      <c r="C7" s="44"/>
      <c r="D7" s="9">
        <v>30</v>
      </c>
      <c r="E7" s="43" t="s">
        <v>46</v>
      </c>
      <c r="F7" s="8"/>
      <c r="G7" s="8"/>
      <c r="H7" s="8"/>
      <c r="I7" s="8"/>
      <c r="J7" s="8"/>
      <c r="K7" s="9"/>
      <c r="N7" s="147" t="s">
        <v>307</v>
      </c>
      <c r="O7" s="66">
        <f>D7</f>
        <v>30</v>
      </c>
      <c r="P7" s="147" t="s">
        <v>104</v>
      </c>
      <c r="Q7" s="650">
        <f>IF(O7&gt;0,100+O7,115)/100</f>
        <v>1.3</v>
      </c>
      <c r="R7" s="1538" t="s">
        <v>199</v>
      </c>
      <c r="S7" s="1652"/>
      <c r="T7" s="737">
        <f>IF($A$5=4,84,IF($A$5=5,74,IF($A$5=6,69,IF($A$5=7,65,61))))</f>
        <v>69</v>
      </c>
      <c r="U7" s="822"/>
    </row>
    <row r="8" spans="1:21" ht="14.25" thickBot="1">
      <c r="A8" s="421"/>
      <c r="B8" s="7" t="s">
        <v>175</v>
      </c>
      <c r="C8" s="44"/>
      <c r="D8" s="9">
        <v>30</v>
      </c>
      <c r="E8" s="43" t="s">
        <v>47</v>
      </c>
      <c r="F8" s="8">
        <v>2</v>
      </c>
      <c r="G8" s="8"/>
      <c r="H8" s="8"/>
      <c r="I8" s="8"/>
      <c r="J8" s="8"/>
      <c r="K8" s="9"/>
      <c r="N8" s="988" t="s">
        <v>131</v>
      </c>
      <c r="O8" s="77" t="s">
        <v>56</v>
      </c>
      <c r="P8" s="554">
        <f>MIN(INT(($R$4*Q7*1.3)*(1+$B$33+$E$33+$I$48)),ReadMe!$M$94)</f>
        <v>12012</v>
      </c>
      <c r="Q8" s="975" t="s">
        <v>154</v>
      </c>
      <c r="R8" s="194" t="s">
        <v>56</v>
      </c>
      <c r="S8" s="160">
        <f>MIN(INT(P8*$E$41),ReadMe!$M$94)</f>
        <v>16816</v>
      </c>
      <c r="T8" s="1432" t="s">
        <v>127</v>
      </c>
      <c r="U8" s="1408">
        <f>INT(P9*(1-$G$41)+S9*$G$41)</f>
        <v>16896</v>
      </c>
    </row>
    <row r="9" spans="1:24" ht="13.5">
      <c r="A9" s="421"/>
      <c r="B9" s="1360" t="s">
        <v>176</v>
      </c>
      <c r="C9" s="1362"/>
      <c r="D9" s="9">
        <v>30</v>
      </c>
      <c r="E9" s="43" t="s">
        <v>48</v>
      </c>
      <c r="F9" s="8"/>
      <c r="G9" s="8">
        <v>7</v>
      </c>
      <c r="H9" s="8">
        <v>7</v>
      </c>
      <c r="I9" s="8">
        <v>7</v>
      </c>
      <c r="J9" s="8">
        <v>7</v>
      </c>
      <c r="K9" s="9"/>
      <c r="N9" s="1051"/>
      <c r="O9" s="44" t="s">
        <v>57</v>
      </c>
      <c r="P9" s="555">
        <f>INT((P8+P10)/2)</f>
        <v>14014</v>
      </c>
      <c r="Q9" s="1069"/>
      <c r="R9" s="80" t="s">
        <v>57</v>
      </c>
      <c r="S9" s="161">
        <f>INT((S8+S10)/2)</f>
        <v>20420</v>
      </c>
      <c r="T9" s="1433"/>
      <c r="U9" s="1409"/>
      <c r="W9" s="1339" t="s">
        <v>187</v>
      </c>
      <c r="X9" s="1368"/>
    </row>
    <row r="10" spans="1:24" ht="14.25" thickBot="1">
      <c r="A10" s="421" t="b">
        <v>1</v>
      </c>
      <c r="B10" s="864" t="s">
        <v>177</v>
      </c>
      <c r="C10" s="15"/>
      <c r="D10" s="247">
        <v>28</v>
      </c>
      <c r="E10" s="43" t="s">
        <v>49</v>
      </c>
      <c r="F10" s="8">
        <v>16</v>
      </c>
      <c r="G10" s="8"/>
      <c r="H10" s="8"/>
      <c r="I10" s="8">
        <v>9</v>
      </c>
      <c r="J10" s="8"/>
      <c r="K10" s="9">
        <v>1</v>
      </c>
      <c r="N10" s="989"/>
      <c r="O10" s="15" t="s">
        <v>58</v>
      </c>
      <c r="P10" s="556">
        <f>MIN(INT(($T$4*Q7*1.3)*(1+$B$33+$E$33+$I$48)),ReadMe!$M$94)</f>
        <v>16017</v>
      </c>
      <c r="Q10" s="1238"/>
      <c r="R10" s="268" t="s">
        <v>58</v>
      </c>
      <c r="S10" s="270">
        <f>MIN(INT(P10*$F$41),ReadMe!$M$94)</f>
        <v>24025</v>
      </c>
      <c r="T10" s="1496"/>
      <c r="U10" s="1495"/>
      <c r="W10" s="1655" t="s">
        <v>189</v>
      </c>
      <c r="X10" s="1656"/>
    </row>
    <row r="11" spans="1:24" ht="14.25" thickBot="1">
      <c r="A11" s="514" t="str">
        <f>IF(A10=TRUE,"TRUE",IF(D11=1,"TRUE","FLASE"))</f>
        <v>TRUE</v>
      </c>
      <c r="B11" s="875" t="s">
        <v>182</v>
      </c>
      <c r="C11" s="201"/>
      <c r="D11" s="861"/>
      <c r="E11" s="43" t="s">
        <v>390</v>
      </c>
      <c r="F11" s="8"/>
      <c r="G11" s="8"/>
      <c r="H11" s="8"/>
      <c r="I11" s="8">
        <v>22</v>
      </c>
      <c r="J11" s="8"/>
      <c r="K11" s="9"/>
      <c r="N11" s="988" t="str">
        <f>IF(O7&gt;0,"6発合計","5発合計")</f>
        <v>6発合計</v>
      </c>
      <c r="O11" s="85" t="s">
        <v>56</v>
      </c>
      <c r="P11" s="214">
        <f>P8*IF(O7&gt;0,6,5)</f>
        <v>72072</v>
      </c>
      <c r="Q11" s="988" t="s">
        <v>67</v>
      </c>
      <c r="R11" s="1373"/>
      <c r="S11" s="1520">
        <f>(P14*T7+IF($A$22="true",$S$39,0))*$G$46</f>
        <v>6994944</v>
      </c>
      <c r="T11" s="1520"/>
      <c r="U11" s="1521"/>
      <c r="W11" s="855" t="s">
        <v>66</v>
      </c>
      <c r="X11" s="200">
        <f>X17</f>
        <v>40</v>
      </c>
    </row>
    <row r="12" spans="2:24" ht="13.5">
      <c r="B12" s="23"/>
      <c r="C12" s="22"/>
      <c r="D12" s="876">
        <f>IF(D10&gt;0,10+ROUNDUP(D10/3,0),11)/100</f>
        <v>0.2</v>
      </c>
      <c r="E12" s="43" t="s">
        <v>339</v>
      </c>
      <c r="F12" s="8"/>
      <c r="G12" s="8"/>
      <c r="H12" s="8"/>
      <c r="I12" s="8"/>
      <c r="J12" s="8"/>
      <c r="K12" s="9"/>
      <c r="N12" s="1051"/>
      <c r="O12" s="179" t="s">
        <v>140</v>
      </c>
      <c r="P12" s="848">
        <f>U8*IF(O7&gt;0,6,5)</f>
        <v>101376</v>
      </c>
      <c r="Q12" s="1051"/>
      <c r="R12" s="1052"/>
      <c r="S12" s="1523"/>
      <c r="T12" s="1523"/>
      <c r="U12" s="1524"/>
      <c r="W12" s="1532">
        <f>(((P14+U20)*(X11-X23)+U26*X23)+IF($A$22="true",$S$39,0))*G46</f>
        <v>8374432</v>
      </c>
      <c r="X12" s="1124"/>
    </row>
    <row r="13" spans="2:24" ht="14.25" thickBot="1">
      <c r="B13" s="23"/>
      <c r="C13" s="22"/>
      <c r="D13" s="143"/>
      <c r="E13" s="43" t="s">
        <v>389</v>
      </c>
      <c r="F13" s="8"/>
      <c r="G13" s="8"/>
      <c r="H13" s="8"/>
      <c r="I13" s="8"/>
      <c r="J13" s="8"/>
      <c r="K13" s="9"/>
      <c r="N13" s="989"/>
      <c r="O13" s="95" t="s">
        <v>58</v>
      </c>
      <c r="P13" s="216">
        <f>S10*IF(O7&gt;0,6,5)</f>
        <v>144150</v>
      </c>
      <c r="Q13" s="989"/>
      <c r="R13" s="1378"/>
      <c r="S13" s="1526"/>
      <c r="T13" s="1526"/>
      <c r="U13" s="1527"/>
      <c r="W13" s="849"/>
      <c r="X13" s="850"/>
    </row>
    <row r="14" spans="2:24" ht="13.5" customHeight="1" thickBot="1">
      <c r="B14" s="23"/>
      <c r="C14" s="22"/>
      <c r="D14" s="143"/>
      <c r="E14" s="43" t="s">
        <v>59</v>
      </c>
      <c r="F14" s="8"/>
      <c r="G14" s="8"/>
      <c r="H14" s="8"/>
      <c r="I14" s="8">
        <v>5</v>
      </c>
      <c r="J14" s="8"/>
      <c r="K14" s="9"/>
      <c r="P14" s="342">
        <f>P12/S4*S5</f>
        <v>101376</v>
      </c>
      <c r="W14" s="60"/>
      <c r="X14" s="60"/>
    </row>
    <row r="15" spans="2:24" ht="14.25" thickBot="1">
      <c r="B15" s="23"/>
      <c r="C15" s="22"/>
      <c r="D15" s="143"/>
      <c r="E15" s="43" t="s">
        <v>60</v>
      </c>
      <c r="F15" s="8">
        <v>8</v>
      </c>
      <c r="G15" s="8"/>
      <c r="H15" s="8"/>
      <c r="I15" s="8">
        <v>8</v>
      </c>
      <c r="J15" s="8"/>
      <c r="K15" s="9"/>
      <c r="N15" s="1270" t="s">
        <v>178</v>
      </c>
      <c r="O15" s="1196"/>
      <c r="P15" s="1196"/>
      <c r="Q15" s="1196"/>
      <c r="R15" s="1196"/>
      <c r="S15" s="1196"/>
      <c r="T15" s="978"/>
      <c r="U15" s="979"/>
      <c r="W15" s="60"/>
      <c r="X15" s="60"/>
    </row>
    <row r="16" spans="2:24" ht="14.25" thickBot="1">
      <c r="B16" s="23"/>
      <c r="C16" s="22"/>
      <c r="D16" s="143"/>
      <c r="E16" s="43" t="s">
        <v>61</v>
      </c>
      <c r="F16" s="8">
        <v>5</v>
      </c>
      <c r="G16" s="8"/>
      <c r="H16" s="8"/>
      <c r="I16" s="8">
        <v>8</v>
      </c>
      <c r="J16" s="8"/>
      <c r="K16" s="9"/>
      <c r="N16" s="92" t="s">
        <v>307</v>
      </c>
      <c r="O16" s="434">
        <f>D6</f>
        <v>10</v>
      </c>
      <c r="P16" s="17" t="s">
        <v>51</v>
      </c>
      <c r="Q16" s="76">
        <f>IF(D7&gt;0,620+14*D6,480+12*D6)/100</f>
        <v>7.6</v>
      </c>
      <c r="R16" s="847" t="s">
        <v>758</v>
      </c>
      <c r="S16" s="76">
        <f>(2*D6)/100</f>
        <v>0.2</v>
      </c>
      <c r="T16" s="1653" t="str">
        <f>IF(D7&gt;0,"フィニッシュブローから派生","デスブローから派生")</f>
        <v>フィニッシュブローから派生</v>
      </c>
      <c r="U16" s="1654"/>
      <c r="W16" s="846" t="s">
        <v>185</v>
      </c>
      <c r="X16" s="851"/>
    </row>
    <row r="17" spans="2:24" ht="14.25" thickBot="1">
      <c r="B17" s="23"/>
      <c r="C17" s="22"/>
      <c r="D17" s="143"/>
      <c r="E17" s="43" t="s">
        <v>1059</v>
      </c>
      <c r="F17" s="8"/>
      <c r="G17" s="8">
        <v>3</v>
      </c>
      <c r="H17" s="8">
        <v>3</v>
      </c>
      <c r="I17" s="8">
        <v>3</v>
      </c>
      <c r="J17" s="8">
        <v>3</v>
      </c>
      <c r="K17" s="9"/>
      <c r="N17" s="988" t="s">
        <v>131</v>
      </c>
      <c r="O17" s="77" t="s">
        <v>56</v>
      </c>
      <c r="P17" s="554">
        <f>MIN(INT(($N$4*G48*Q16*1.3)*(1+$B$33+$E$33+$I$48)),ReadMe!$M$94)</f>
        <v>74911</v>
      </c>
      <c r="Q17" s="975" t="s">
        <v>154</v>
      </c>
      <c r="R17" s="194" t="s">
        <v>56</v>
      </c>
      <c r="S17" s="160">
        <f>MIN(INT(P17*$E$41),ReadMe!$M$94)</f>
        <v>104875</v>
      </c>
      <c r="T17" s="1432" t="s">
        <v>127</v>
      </c>
      <c r="U17" s="1408">
        <f>INT(P18*(1-$G$41)+S18*$G$41)</f>
        <v>105374</v>
      </c>
      <c r="W17" s="845" t="s">
        <v>66</v>
      </c>
      <c r="X17" s="854">
        <f>IF($A$5=4,46,IF($A$5=5,44,IF($A$5=6,40,IF($A$5=7,38,35))))</f>
        <v>40</v>
      </c>
    </row>
    <row r="18" spans="2:24" ht="13.5">
      <c r="B18" s="23"/>
      <c r="C18" s="22"/>
      <c r="D18" s="143"/>
      <c r="E18" s="43" t="s">
        <v>1059</v>
      </c>
      <c r="F18" s="8">
        <v>1</v>
      </c>
      <c r="G18" s="8">
        <v>1</v>
      </c>
      <c r="H18" s="8">
        <v>1</v>
      </c>
      <c r="I18" s="8">
        <v>1</v>
      </c>
      <c r="J18" s="8">
        <v>1</v>
      </c>
      <c r="K18" s="9"/>
      <c r="N18" s="1051"/>
      <c r="O18" s="44" t="s">
        <v>57</v>
      </c>
      <c r="P18" s="555">
        <f>INT((P17+P19)/2)</f>
        <v>87396</v>
      </c>
      <c r="Q18" s="1069"/>
      <c r="R18" s="80" t="s">
        <v>57</v>
      </c>
      <c r="S18" s="161">
        <f>INT((S17+S19)/2)</f>
        <v>127348</v>
      </c>
      <c r="T18" s="1433"/>
      <c r="U18" s="1409"/>
      <c r="W18" s="1532">
        <f>((P14+U20)*X17+IF($A$22="true",$S$39,0))*G46</f>
        <v>8270000</v>
      </c>
      <c r="X18" s="1124"/>
    </row>
    <row r="19" spans="2:24" ht="14.25" thickBot="1">
      <c r="B19" s="48"/>
      <c r="C19" s="520"/>
      <c r="D19" s="239"/>
      <c r="E19" s="43" t="s">
        <v>1059</v>
      </c>
      <c r="F19" s="8">
        <v>1</v>
      </c>
      <c r="G19" s="8">
        <v>1</v>
      </c>
      <c r="H19" s="8">
        <v>1</v>
      </c>
      <c r="I19" s="8">
        <v>1</v>
      </c>
      <c r="J19" s="8">
        <v>1</v>
      </c>
      <c r="K19" s="9"/>
      <c r="N19" s="989"/>
      <c r="O19" s="15" t="s">
        <v>58</v>
      </c>
      <c r="P19" s="556">
        <f>MIN(INT(($P$4*$G$48*Q16*1.3)*(1+$B$33+$E$33+$I$48)),ReadMe!$M$94)</f>
        <v>99881</v>
      </c>
      <c r="Q19" s="1070"/>
      <c r="R19" s="87" t="s">
        <v>58</v>
      </c>
      <c r="S19" s="162">
        <f>MIN(INT(P19*$F$41),ReadMe!$M$94)</f>
        <v>149821</v>
      </c>
      <c r="T19" s="1443"/>
      <c r="U19" s="1459"/>
      <c r="W19" s="849"/>
      <c r="X19" s="850"/>
    </row>
    <row r="20" spans="1:21" ht="14.25" thickBot="1">
      <c r="A20"/>
      <c r="B20" s="762" t="s">
        <v>1090</v>
      </c>
      <c r="C20" s="743"/>
      <c r="D20" s="763"/>
      <c r="E20" s="43" t="s">
        <v>1059</v>
      </c>
      <c r="F20" s="8"/>
      <c r="G20" s="8"/>
      <c r="H20" s="8"/>
      <c r="I20" s="8"/>
      <c r="J20" s="8"/>
      <c r="K20" s="9"/>
      <c r="U20" s="421">
        <f>U17/O4*O5</f>
        <v>105374</v>
      </c>
    </row>
    <row r="21" spans="1:21" ht="14.25" thickBot="1">
      <c r="A21" s="421" t="b">
        <v>0</v>
      </c>
      <c r="B21" s="330" t="s">
        <v>1092</v>
      </c>
      <c r="C21" s="331"/>
      <c r="D21" s="219"/>
      <c r="E21" s="43" t="s">
        <v>970</v>
      </c>
      <c r="F21" s="8"/>
      <c r="G21" s="8">
        <v>2</v>
      </c>
      <c r="H21" s="8">
        <v>2</v>
      </c>
      <c r="I21" s="8">
        <v>2</v>
      </c>
      <c r="J21" s="8">
        <v>2</v>
      </c>
      <c r="K21" s="9"/>
      <c r="N21" s="977" t="s">
        <v>181</v>
      </c>
      <c r="O21" s="978"/>
      <c r="P21" s="978"/>
      <c r="Q21" s="978"/>
      <c r="R21" s="978"/>
      <c r="S21" s="978"/>
      <c r="T21" s="978"/>
      <c r="U21" s="979"/>
    </row>
    <row r="22" spans="1:24" ht="14.25" thickBot="1">
      <c r="A22" s="421" t="str">
        <f>IF(A21=TRUE,"TRUE",IF(D22=1,"TRUE","FLASE"))</f>
        <v>FLASE</v>
      </c>
      <c r="B22" s="245" t="s">
        <v>1091</v>
      </c>
      <c r="C22" s="591"/>
      <c r="D22" s="533"/>
      <c r="E22" s="43" t="s">
        <v>155</v>
      </c>
      <c r="F22" s="8"/>
      <c r="G22" s="8">
        <v>3</v>
      </c>
      <c r="H22" s="8">
        <v>3</v>
      </c>
      <c r="I22" s="8">
        <v>3</v>
      </c>
      <c r="J22" s="8">
        <v>3</v>
      </c>
      <c r="K22" s="9"/>
      <c r="N22" s="92" t="s">
        <v>307</v>
      </c>
      <c r="O22" s="434">
        <v>20</v>
      </c>
      <c r="P22" s="17" t="s">
        <v>51</v>
      </c>
      <c r="Q22" s="750">
        <f>(1000*(1+(O42*2)/100))/100</f>
        <v>16</v>
      </c>
      <c r="R22" s="420" t="s">
        <v>1096</v>
      </c>
      <c r="S22" s="649">
        <f>15%</f>
        <v>0.15</v>
      </c>
      <c r="T22" s="847" t="s">
        <v>548</v>
      </c>
      <c r="U22" s="852">
        <v>7.5</v>
      </c>
      <c r="W22" s="853" t="s">
        <v>188</v>
      </c>
      <c r="X22" s="851"/>
    </row>
    <row r="23" spans="1:24" ht="14.25" thickBot="1">
      <c r="A23" s="422" t="b">
        <v>0</v>
      </c>
      <c r="B23" s="237" t="s">
        <v>184</v>
      </c>
      <c r="C23" s="416"/>
      <c r="D23" s="238"/>
      <c r="E23" s="43" t="s">
        <v>1210</v>
      </c>
      <c r="F23" s="8"/>
      <c r="G23" s="8"/>
      <c r="H23" s="8"/>
      <c r="I23" s="8"/>
      <c r="J23" s="8"/>
      <c r="K23" s="9"/>
      <c r="N23" s="988" t="s">
        <v>131</v>
      </c>
      <c r="O23" s="77" t="s">
        <v>56</v>
      </c>
      <c r="P23" s="554">
        <f>MIN(INT(($R$4*Q22*1.3)*(1+$B$33+$E$33+$I$48)),ReadMe!$M$94)</f>
        <v>147851</v>
      </c>
      <c r="Q23" s="975" t="s">
        <v>154</v>
      </c>
      <c r="R23" s="194" t="s">
        <v>56</v>
      </c>
      <c r="S23" s="160">
        <f>MIN(INT(P23*$E$41),ReadMe!$M$94)</f>
        <v>206991</v>
      </c>
      <c r="T23" s="1432" t="s">
        <v>127</v>
      </c>
      <c r="U23" s="1408">
        <f>INT(P24*(1-($G$41+$S$22))+S24*($G$41+$S$22))</f>
        <v>219804</v>
      </c>
      <c r="W23" s="845" t="s">
        <v>186</v>
      </c>
      <c r="X23" s="854">
        <f>60/U22</f>
        <v>8</v>
      </c>
    </row>
    <row r="24" spans="1:24" ht="13.5">
      <c r="A24" s="514" t="str">
        <f>IF(A23=TRUE,"TRUE",IF(D24=1,"TRUE","FLASE"))</f>
        <v>FLASE</v>
      </c>
      <c r="B24" s="284" t="s">
        <v>765</v>
      </c>
      <c r="C24" s="856"/>
      <c r="D24" s="640"/>
      <c r="E24" s="43" t="s">
        <v>156</v>
      </c>
      <c r="F24" s="8"/>
      <c r="G24" s="8"/>
      <c r="H24" s="8"/>
      <c r="I24" s="8"/>
      <c r="J24" s="8"/>
      <c r="K24" s="9"/>
      <c r="N24" s="1051"/>
      <c r="O24" s="44" t="s">
        <v>57</v>
      </c>
      <c r="P24" s="555">
        <f>INT((P23+P25)/2)</f>
        <v>172492</v>
      </c>
      <c r="Q24" s="1069"/>
      <c r="R24" s="80" t="s">
        <v>57</v>
      </c>
      <c r="S24" s="161">
        <f>INT((S23+S25)/2)</f>
        <v>251346</v>
      </c>
      <c r="T24" s="1433"/>
      <c r="U24" s="1409"/>
      <c r="W24" s="1532">
        <f>(P14*(T7-X23*1.5)+U26*X23+IF($A$22="true",$S$39,0))*G46</f>
        <v>7536864</v>
      </c>
      <c r="X24" s="1124"/>
    </row>
    <row r="25" spans="1:24" ht="14.25" customHeight="1" thickBot="1">
      <c r="A25" s="421"/>
      <c r="B25" s="872" t="s">
        <v>183</v>
      </c>
      <c r="C25" s="873"/>
      <c r="D25" s="874">
        <f>IF(A11="true",D12+IF(A24="true",0.4,0),0)</f>
        <v>0.2</v>
      </c>
      <c r="E25" s="43" t="s">
        <v>823</v>
      </c>
      <c r="F25" s="8">
        <v>20</v>
      </c>
      <c r="G25" s="8"/>
      <c r="H25" s="8"/>
      <c r="I25" s="8"/>
      <c r="J25" s="8"/>
      <c r="K25" s="9"/>
      <c r="N25" s="989"/>
      <c r="O25" s="15" t="s">
        <v>58</v>
      </c>
      <c r="P25" s="556">
        <f>MIN(INT(($T$4*Q22*1.3)*(1+$B$33+$E$33+$I$48)),ReadMe!$M$94)</f>
        <v>197134</v>
      </c>
      <c r="Q25" s="1070"/>
      <c r="R25" s="87" t="s">
        <v>58</v>
      </c>
      <c r="S25" s="162">
        <f>MIN(INT(P25*$F$41),ReadMe!$M$94)</f>
        <v>295701</v>
      </c>
      <c r="T25" s="1443"/>
      <c r="U25" s="1459"/>
      <c r="W25" s="849"/>
      <c r="X25" s="850"/>
    </row>
    <row r="26" spans="1:21" ht="14.25" thickBot="1">
      <c r="A26" s="421"/>
      <c r="B26" s="1245" t="s">
        <v>157</v>
      </c>
      <c r="C26" s="1246"/>
      <c r="D26" s="142">
        <v>9</v>
      </c>
      <c r="E26" s="235" t="s">
        <v>158</v>
      </c>
      <c r="F26" s="8"/>
      <c r="G26" s="41">
        <f>ROUNDDOWN(G3*D27%,0)</f>
        <v>0</v>
      </c>
      <c r="H26" s="41">
        <f>ROUNDDOWN(H3*D27%,0)</f>
        <v>0</v>
      </c>
      <c r="I26" s="41">
        <f>ROUNDDOWN(I3*D27%,0)</f>
        <v>38</v>
      </c>
      <c r="J26" s="41">
        <f>ROUNDDOWN(J3*D27%,0)</f>
        <v>0</v>
      </c>
      <c r="K26" s="9">
        <f>SUM(K2:K25)+D27</f>
        <v>6</v>
      </c>
      <c r="U26" s="421">
        <f>U23/S4*S5</f>
        <v>219804</v>
      </c>
    </row>
    <row r="27" spans="1:21" ht="14.25" thickBot="1">
      <c r="A27" s="421"/>
      <c r="B27" s="14" t="s">
        <v>62</v>
      </c>
      <c r="C27" s="571"/>
      <c r="D27" s="16">
        <f>ROUNDUP(D26/2,0)</f>
        <v>5</v>
      </c>
      <c r="E27" s="7" t="s">
        <v>63</v>
      </c>
      <c r="F27" s="44">
        <f>D28+10+D10</f>
        <v>38</v>
      </c>
      <c r="G27" s="44">
        <f>SUM(G4:G25)</f>
        <v>27</v>
      </c>
      <c r="H27" s="44">
        <f>SUM(H4:H25)</f>
        <v>27</v>
      </c>
      <c r="I27" s="44">
        <f>SUM(I4:I25)</f>
        <v>105</v>
      </c>
      <c r="J27" s="44">
        <f>SUM(J4:J25)</f>
        <v>27</v>
      </c>
      <c r="K27" s="635">
        <f>SUM(K3:K26)+D32</f>
        <v>7</v>
      </c>
      <c r="N27" s="977" t="s">
        <v>175</v>
      </c>
      <c r="O27" s="978"/>
      <c r="P27" s="978"/>
      <c r="Q27" s="978"/>
      <c r="R27" s="978"/>
      <c r="S27" s="978"/>
      <c r="T27" s="978"/>
      <c r="U27" s="979"/>
    </row>
    <row r="28" spans="1:21" ht="14.25" thickBot="1">
      <c r="A28" s="421"/>
      <c r="B28" s="17" t="s">
        <v>1024</v>
      </c>
      <c r="C28" s="210"/>
      <c r="D28" s="18">
        <v>0</v>
      </c>
      <c r="E28" s="14" t="s">
        <v>55</v>
      </c>
      <c r="F28" s="49">
        <f>SUM(F4:F27)</f>
        <v>264</v>
      </c>
      <c r="G28" s="49">
        <f>INT((G3+G26+G27)*(1+G31))</f>
        <v>31</v>
      </c>
      <c r="H28" s="49">
        <f>INT((H3+H26+H27)*(1+H31))</f>
        <v>31</v>
      </c>
      <c r="I28" s="49">
        <f>INT((I3+I26+I27)*(1+I31))</f>
        <v>992</v>
      </c>
      <c r="J28" s="49">
        <f>INT((J3+J26+J27)*(1+J31))</f>
        <v>31</v>
      </c>
      <c r="K28" s="205">
        <f>($I$28+$J$28*1.2+K27)*(1+K31)</f>
        <v>1036.2</v>
      </c>
      <c r="N28" s="147" t="s">
        <v>307</v>
      </c>
      <c r="O28" s="66">
        <f>D8</f>
        <v>30</v>
      </c>
      <c r="P28" s="147" t="s">
        <v>104</v>
      </c>
      <c r="Q28" s="650">
        <f>(550+15*O28)/100</f>
        <v>10</v>
      </c>
      <c r="R28" s="1538" t="s">
        <v>199</v>
      </c>
      <c r="S28" s="1541"/>
      <c r="T28" s="66">
        <v>60</v>
      </c>
      <c r="U28" s="822"/>
    </row>
    <row r="29" spans="1:21" ht="14.25" thickBot="1">
      <c r="A29" s="421"/>
      <c r="B29" s="1068" t="s">
        <v>645</v>
      </c>
      <c r="C29" s="1036"/>
      <c r="D29" s="1036"/>
      <c r="E29" s="1544"/>
      <c r="F29" s="1544"/>
      <c r="G29" s="1544"/>
      <c r="H29" s="1544"/>
      <c r="I29" s="1544"/>
      <c r="J29" s="1544"/>
      <c r="K29" s="1545"/>
      <c r="N29" s="988" t="s">
        <v>131</v>
      </c>
      <c r="O29" s="77" t="s">
        <v>56</v>
      </c>
      <c r="P29" s="554">
        <f>MIN(INT(($R$4*Q28*1.3)*(1+$B$33+$E$33+$I$48)),ReadMe!$M$94)</f>
        <v>92406</v>
      </c>
      <c r="Q29" s="975" t="s">
        <v>154</v>
      </c>
      <c r="R29" s="194" t="s">
        <v>56</v>
      </c>
      <c r="S29" s="160">
        <f>MIN(INT(P29*$E$41),ReadMe!$M$94)</f>
        <v>129368</v>
      </c>
      <c r="T29" s="1432" t="s">
        <v>127</v>
      </c>
      <c r="U29" s="1408">
        <f>INT(P30*(1-$G$41)+S30*$G$41)</f>
        <v>129984</v>
      </c>
    </row>
    <row r="30" spans="1:21" ht="13.5">
      <c r="A30" s="421"/>
      <c r="B30" s="1085" t="s">
        <v>443</v>
      </c>
      <c r="C30" s="1086"/>
      <c r="D30" s="1087"/>
      <c r="E30" s="1038" t="s">
        <v>646</v>
      </c>
      <c r="F30" s="1039"/>
      <c r="G30" s="1" t="s">
        <v>159</v>
      </c>
      <c r="H30" s="3" t="s">
        <v>160</v>
      </c>
      <c r="I30" s="3" t="s">
        <v>161</v>
      </c>
      <c r="J30" s="3" t="s">
        <v>162</v>
      </c>
      <c r="K30" s="4" t="s">
        <v>651</v>
      </c>
      <c r="N30" s="1051"/>
      <c r="O30" s="44" t="s">
        <v>57</v>
      </c>
      <c r="P30" s="555">
        <f>INT((P29+P31)/2)</f>
        <v>107807</v>
      </c>
      <c r="Q30" s="1069"/>
      <c r="R30" s="80" t="s">
        <v>57</v>
      </c>
      <c r="S30" s="161">
        <f>INT((S29+S31)/2)</f>
        <v>157090</v>
      </c>
      <c r="T30" s="1433"/>
      <c r="U30" s="1409"/>
    </row>
    <row r="31" spans="1:21" ht="14.25" thickBot="1">
      <c r="A31" s="421"/>
      <c r="B31" s="1091">
        <v>0</v>
      </c>
      <c r="C31" s="1132"/>
      <c r="D31" s="1093"/>
      <c r="E31" s="1040">
        <v>0</v>
      </c>
      <c r="F31" s="1032"/>
      <c r="G31" s="575">
        <v>0</v>
      </c>
      <c r="H31" s="576">
        <v>0</v>
      </c>
      <c r="I31" s="576">
        <v>0.09</v>
      </c>
      <c r="J31" s="576">
        <v>0</v>
      </c>
      <c r="K31" s="577">
        <v>0</v>
      </c>
      <c r="N31" s="989"/>
      <c r="O31" s="15" t="s">
        <v>58</v>
      </c>
      <c r="P31" s="556">
        <f>MIN(INT(($T$4*Q28*1.3)*(1+$B$33+$E$33+$I$48)),ReadMe!$M$94)</f>
        <v>123209</v>
      </c>
      <c r="Q31" s="1070"/>
      <c r="R31" s="87" t="s">
        <v>58</v>
      </c>
      <c r="S31" s="162">
        <f>MIN(INT(P31*$F$41),ReadMe!$M$94)</f>
        <v>184813</v>
      </c>
      <c r="T31" s="1433"/>
      <c r="U31" s="1409"/>
    </row>
    <row r="32" spans="1:21" ht="14.25" thickBot="1">
      <c r="A32" s="421"/>
      <c r="B32" s="1088" t="s">
        <v>644</v>
      </c>
      <c r="C32" s="1089"/>
      <c r="D32" s="1090"/>
      <c r="E32" s="984" t="s">
        <v>551</v>
      </c>
      <c r="F32" s="976"/>
      <c r="N32" s="1205" t="s">
        <v>94</v>
      </c>
      <c r="O32" s="1254"/>
      <c r="P32" s="1254"/>
      <c r="Q32" s="1254"/>
      <c r="R32" s="1254"/>
      <c r="S32" s="1530">
        <f>(U33*T28+IF($A$22="true",$S$39,0))*$G$46</f>
        <v>7799040</v>
      </c>
      <c r="T32" s="1298"/>
      <c r="U32" s="1299"/>
    </row>
    <row r="33" spans="1:21" ht="13.5" customHeight="1" thickBot="1">
      <c r="A33" s="421"/>
      <c r="B33" s="1091">
        <v>0</v>
      </c>
      <c r="C33" s="1092"/>
      <c r="D33" s="1093"/>
      <c r="E33" s="1040">
        <v>0</v>
      </c>
      <c r="F33" s="1032"/>
      <c r="I33" s="1041" t="s">
        <v>218</v>
      </c>
      <c r="J33" s="1042"/>
      <c r="K33" s="1043"/>
      <c r="U33" s="421">
        <f>U29/S4*S5</f>
        <v>129984</v>
      </c>
    </row>
    <row r="34" spans="1:21" ht="14.25" thickBot="1">
      <c r="A34" s="421"/>
      <c r="I34" s="1041" t="s">
        <v>220</v>
      </c>
      <c r="J34" s="1053"/>
      <c r="K34" s="1054"/>
      <c r="N34" s="977" t="s">
        <v>170</v>
      </c>
      <c r="O34" s="978"/>
      <c r="P34" s="978"/>
      <c r="Q34" s="978"/>
      <c r="R34" s="978"/>
      <c r="S34" s="978"/>
      <c r="T34" s="978"/>
      <c r="U34" s="979"/>
    </row>
    <row r="35" spans="1:21" ht="14.25" thickBot="1">
      <c r="A35" s="421"/>
      <c r="B35" s="1047" t="s">
        <v>163</v>
      </c>
      <c r="C35" s="1048"/>
      <c r="D35" s="1048"/>
      <c r="E35" s="535" t="s">
        <v>56</v>
      </c>
      <c r="F35" s="19" t="s">
        <v>58</v>
      </c>
      <c r="G35" s="536" t="s">
        <v>750</v>
      </c>
      <c r="I35" s="871" t="s">
        <v>217</v>
      </c>
      <c r="J35" s="224"/>
      <c r="K35" s="247">
        <v>0</v>
      </c>
      <c r="N35" s="147" t="s">
        <v>307</v>
      </c>
      <c r="O35" s="66">
        <v>10</v>
      </c>
      <c r="P35" s="147" t="s">
        <v>104</v>
      </c>
      <c r="Q35" s="650">
        <v>3</v>
      </c>
      <c r="R35" s="1538" t="s">
        <v>199</v>
      </c>
      <c r="S35" s="1541"/>
      <c r="T35" s="243">
        <v>98</v>
      </c>
      <c r="U35" s="822" t="s">
        <v>762</v>
      </c>
    </row>
    <row r="36" spans="1:21" ht="14.25" thickBot="1">
      <c r="A36" s="421"/>
      <c r="B36" s="1133" t="s">
        <v>1122</v>
      </c>
      <c r="C36" s="1134"/>
      <c r="D36" s="1135"/>
      <c r="E36" s="36">
        <v>1.4</v>
      </c>
      <c r="F36" s="539">
        <v>1.5</v>
      </c>
      <c r="G36" s="260">
        <v>0.45</v>
      </c>
      <c r="N36" s="988" t="s">
        <v>131</v>
      </c>
      <c r="O36" s="77" t="s">
        <v>56</v>
      </c>
      <c r="P36" s="554">
        <f>MIN(INT(($R$4*Q35*1.3)*(1+$B$33+$E$33+$I$48)),ReadMe!$M$94)</f>
        <v>27722</v>
      </c>
      <c r="Q36" s="975" t="s">
        <v>154</v>
      </c>
      <c r="R36" s="194" t="s">
        <v>56</v>
      </c>
      <c r="S36" s="160">
        <f>MIN(INT(P36*$E$41),ReadMe!$M$94)</f>
        <v>38810</v>
      </c>
      <c r="T36" s="1432" t="s">
        <v>127</v>
      </c>
      <c r="U36" s="1408">
        <f>INT(P37*(1-$G$41)+S37*$G$41)</f>
        <v>38994</v>
      </c>
    </row>
    <row r="37" spans="1:21" ht="14.25" thickBot="1">
      <c r="A37" s="421"/>
      <c r="B37" s="1051" t="s">
        <v>165</v>
      </c>
      <c r="C37" s="1052"/>
      <c r="D37" s="548">
        <v>0</v>
      </c>
      <c r="E37" s="538"/>
      <c r="F37" s="537">
        <f>D37/100</f>
        <v>0</v>
      </c>
      <c r="G37" s="543">
        <f>IF(D37=0,0,(5+ROUNDUP(D37/2,0))/100)</f>
        <v>0</v>
      </c>
      <c r="I37" s="1075" t="s">
        <v>167</v>
      </c>
      <c r="J37" s="1076"/>
      <c r="K37" s="1077"/>
      <c r="N37" s="1051"/>
      <c r="O37" s="44" t="s">
        <v>57</v>
      </c>
      <c r="P37" s="555">
        <f>INT((P36+P38)/2)</f>
        <v>32342</v>
      </c>
      <c r="Q37" s="1069"/>
      <c r="R37" s="80" t="s">
        <v>57</v>
      </c>
      <c r="S37" s="161">
        <f>INT((S36+S38)/2)</f>
        <v>47126</v>
      </c>
      <c r="T37" s="1433"/>
      <c r="U37" s="1409"/>
    </row>
    <row r="38" spans="1:21" ht="14.25" thickBot="1">
      <c r="A38" s="421"/>
      <c r="B38" s="1051" t="s">
        <v>166</v>
      </c>
      <c r="C38" s="1052"/>
      <c r="D38" s="548">
        <v>0</v>
      </c>
      <c r="E38" s="538">
        <f>D38/100</f>
        <v>0</v>
      </c>
      <c r="F38" s="537"/>
      <c r="G38" s="543">
        <f>IF(D38=0,0,(5+ROUNDUP(D38/2,0))/100)</f>
        <v>0</v>
      </c>
      <c r="I38" s="439" t="s">
        <v>164</v>
      </c>
      <c r="J38" s="572"/>
      <c r="K38" s="223">
        <v>0</v>
      </c>
      <c r="L38" s="342"/>
      <c r="M38" s="342"/>
      <c r="N38" s="989"/>
      <c r="O38" s="15" t="s">
        <v>58</v>
      </c>
      <c r="P38" s="556">
        <f>MIN(INT(($T$4*Q35*1.3)*(1+$B$33+$E$33+$I$48)),ReadMe!$M$94)</f>
        <v>36962</v>
      </c>
      <c r="Q38" s="1070"/>
      <c r="R38" s="87" t="s">
        <v>58</v>
      </c>
      <c r="S38" s="162">
        <f>MIN(INT(P38*$F$41),ReadMe!$M$94)</f>
        <v>55443</v>
      </c>
      <c r="T38" s="1433"/>
      <c r="U38" s="1409"/>
    </row>
    <row r="39" spans="1:21" ht="14.25" thickBot="1">
      <c r="A39" s="421" t="b">
        <v>0</v>
      </c>
      <c r="B39" s="1051" t="s">
        <v>168</v>
      </c>
      <c r="C39" s="1052"/>
      <c r="D39" s="544"/>
      <c r="E39" s="538"/>
      <c r="F39" s="537">
        <f>IF(H39="true",0.15,0)</f>
        <v>0</v>
      </c>
      <c r="G39" s="543">
        <f>IF(H39="true",0.1,0)</f>
        <v>0</v>
      </c>
      <c r="H39" s="421" t="str">
        <f>IF(A39=TRUE,"TRUE",IF(D39=1,"TRUE","FLASE"))</f>
        <v>FLASE</v>
      </c>
      <c r="I39" s="440" t="s">
        <v>1190</v>
      </c>
      <c r="J39" s="573"/>
      <c r="K39" s="441">
        <f>IF(K38&gt;0,(K38+10)/100,0)</f>
        <v>0</v>
      </c>
      <c r="N39" s="1205" t="s">
        <v>94</v>
      </c>
      <c r="O39" s="1254"/>
      <c r="P39" s="1254"/>
      <c r="Q39" s="1254"/>
      <c r="R39" s="1254"/>
      <c r="S39" s="1530">
        <f>U40*T35*$G$46</f>
        <v>3821412</v>
      </c>
      <c r="T39" s="1298"/>
      <c r="U39" s="1299"/>
    </row>
    <row r="40" spans="1:21" ht="14.25" thickBot="1">
      <c r="A40" s="421"/>
      <c r="B40" s="1055" t="s">
        <v>1121</v>
      </c>
      <c r="C40" s="1056"/>
      <c r="D40" s="1057"/>
      <c r="E40" s="545">
        <v>0</v>
      </c>
      <c r="F40" s="546">
        <v>0</v>
      </c>
      <c r="G40" s="547">
        <v>0</v>
      </c>
      <c r="U40" s="421">
        <f>U36/S4*S5</f>
        <v>38994</v>
      </c>
    </row>
    <row r="41" spans="1:21" ht="14.25" thickBot="1">
      <c r="A41" s="421"/>
      <c r="B41" s="1044" t="s">
        <v>1123</v>
      </c>
      <c r="C41" s="1045"/>
      <c r="D41" s="1046"/>
      <c r="E41" s="540">
        <f>E36+MAX(E38,E39)+E40</f>
        <v>1.4</v>
      </c>
      <c r="F41" s="541">
        <f>F36+MAX(F37,F39)+F40</f>
        <v>1.5</v>
      </c>
      <c r="G41" s="542">
        <f>G36+MAX(G37,G38,G39)+G40</f>
        <v>0.45</v>
      </c>
      <c r="I41" s="1003" t="s">
        <v>169</v>
      </c>
      <c r="J41" s="1004"/>
      <c r="K41" s="996"/>
      <c r="L41" s="342"/>
      <c r="M41" s="168"/>
      <c r="N41" s="977" t="s">
        <v>180</v>
      </c>
      <c r="O41" s="978"/>
      <c r="P41" s="978"/>
      <c r="Q41" s="978"/>
      <c r="R41" s="978"/>
      <c r="S41" s="978"/>
      <c r="T41" s="978"/>
      <c r="U41" s="979"/>
    </row>
    <row r="42" spans="2:21" ht="14.25" thickBot="1">
      <c r="B42" s="1136" t="s">
        <v>135</v>
      </c>
      <c r="C42" s="1137"/>
      <c r="D42" s="1138"/>
      <c r="E42" s="1011">
        <f>(($E$41+$F$41)/2-1)*$G$41+1</f>
        <v>1.2025</v>
      </c>
      <c r="F42" s="1012"/>
      <c r="G42" s="1005"/>
      <c r="I42" s="1083" t="s">
        <v>652</v>
      </c>
      <c r="J42" s="1084"/>
      <c r="K42" s="493"/>
      <c r="L42" s="514" t="b">
        <v>0</v>
      </c>
      <c r="M42" s="514" t="str">
        <f>IF(L42=TRUE,"TRUE",IF(K42=1,"TRUE","FLASE"))</f>
        <v>FLASE</v>
      </c>
      <c r="N42" s="152" t="s">
        <v>171</v>
      </c>
      <c r="O42" s="153">
        <f>D9</f>
        <v>30</v>
      </c>
      <c r="P42" s="152" t="s">
        <v>104</v>
      </c>
      <c r="Q42" s="655">
        <f>(1200+20*O42)/100</f>
        <v>18</v>
      </c>
      <c r="R42" s="1542" t="s">
        <v>446</v>
      </c>
      <c r="S42" s="1543"/>
      <c r="T42" s="752">
        <f>60-2*INT(O42/2)</f>
        <v>30</v>
      </c>
      <c r="U42" s="219"/>
    </row>
    <row r="43" spans="9:21" ht="14.25" thickBot="1">
      <c r="I43" s="994" t="s">
        <v>653</v>
      </c>
      <c r="J43" s="995"/>
      <c r="K43" s="494"/>
      <c r="L43" s="514" t="b">
        <v>0</v>
      </c>
      <c r="M43" s="514" t="str">
        <f>IF(L43=TRUE,"TRUE",IF(K43=1,"TRUE","FLASE"))</f>
        <v>FLASE</v>
      </c>
      <c r="N43" s="988" t="s">
        <v>131</v>
      </c>
      <c r="O43" s="77" t="s">
        <v>56</v>
      </c>
      <c r="P43" s="554">
        <f>MIN(INT(($R$4*Q42*1.3)*(1+$B$33+$E$33+$I$48)),ReadMe!$M$94)</f>
        <v>166332</v>
      </c>
      <c r="Q43" s="975" t="s">
        <v>154</v>
      </c>
      <c r="R43" s="194" t="s">
        <v>56</v>
      </c>
      <c r="S43" s="160">
        <f>MIN(INT(P43*$E$41),ReadMe!$M$94)</f>
        <v>232864</v>
      </c>
      <c r="T43" s="1432" t="s">
        <v>127</v>
      </c>
      <c r="U43" s="1408">
        <f>INT(P44*(1-$G$41)+S44*$G$41)</f>
        <v>233973</v>
      </c>
    </row>
    <row r="44" spans="2:21" ht="14.25" thickBot="1">
      <c r="B44" s="1049" t="s">
        <v>416</v>
      </c>
      <c r="C44" s="1050"/>
      <c r="D44" s="566">
        <v>125</v>
      </c>
      <c r="E44" s="1147" t="s">
        <v>417</v>
      </c>
      <c r="F44" s="1148"/>
      <c r="G44" s="26">
        <f>IF(D2&gt;D44,0,$D$44-$D$2)</f>
        <v>0</v>
      </c>
      <c r="I44" s="1002" t="s">
        <v>530</v>
      </c>
      <c r="J44" s="993"/>
      <c r="K44" s="225">
        <f>IF(M42="TRUE",1.04,IF(M43="TRUE",1.02,1))</f>
        <v>1</v>
      </c>
      <c r="L44" s="342"/>
      <c r="M44" s="342"/>
      <c r="N44" s="1051"/>
      <c r="O44" s="44" t="s">
        <v>57</v>
      </c>
      <c r="P44" s="555">
        <f>INT((P43+P45)/2)</f>
        <v>194054</v>
      </c>
      <c r="Q44" s="1069"/>
      <c r="R44" s="80" t="s">
        <v>57</v>
      </c>
      <c r="S44" s="161">
        <f>INT((S43+S45)/2)</f>
        <v>282764</v>
      </c>
      <c r="T44" s="1433"/>
      <c r="U44" s="1409"/>
    </row>
    <row r="45" spans="2:21" ht="14.25" thickBot="1">
      <c r="B45" s="1006" t="s">
        <v>450</v>
      </c>
      <c r="C45" s="1007"/>
      <c r="D45" s="9">
        <v>12</v>
      </c>
      <c r="E45" s="1006" t="s">
        <v>452</v>
      </c>
      <c r="F45" s="1007"/>
      <c r="G45" s="665">
        <f>IF(G44&gt;0,"-",D45)</f>
        <v>12</v>
      </c>
      <c r="L45" s="342"/>
      <c r="M45" s="342"/>
      <c r="N45" s="989"/>
      <c r="O45" s="15" t="s">
        <v>58</v>
      </c>
      <c r="P45" s="556">
        <f>MIN(INT(($T$4*Q42*1.3)*(1+$B$33+$E$33+$I$48)),ReadMe!$M$94)</f>
        <v>221776</v>
      </c>
      <c r="Q45" s="1070"/>
      <c r="R45" s="87" t="s">
        <v>58</v>
      </c>
      <c r="S45" s="162">
        <f>MIN(INT(P45*$F$41),ReadMe!$M$94)</f>
        <v>332664</v>
      </c>
      <c r="T45" s="1443"/>
      <c r="U45" s="1459"/>
    </row>
    <row r="46" spans="2:11" ht="14.25" thickBot="1">
      <c r="B46" s="997" t="s">
        <v>415</v>
      </c>
      <c r="C46" s="998"/>
      <c r="D46" s="9">
        <v>0</v>
      </c>
      <c r="E46" s="1006" t="s">
        <v>451</v>
      </c>
      <c r="F46" s="1007"/>
      <c r="G46" s="543">
        <f>MAX((MIN(100+SQRT($K$28)-SQRT($D$45),100)-5*G44)/100,0)</f>
        <v>1</v>
      </c>
      <c r="I46" s="1078" t="s">
        <v>749</v>
      </c>
      <c r="J46" s="1079"/>
      <c r="K46" s="1080"/>
    </row>
    <row r="47" spans="2:19" ht="14.25" thickBot="1">
      <c r="B47" s="1008" t="s">
        <v>642</v>
      </c>
      <c r="C47" s="1009"/>
      <c r="D47" s="567">
        <v>0.25</v>
      </c>
      <c r="E47" s="1145" t="s">
        <v>643</v>
      </c>
      <c r="F47" s="1146"/>
      <c r="G47" s="29">
        <f>1-(D47*(1-K39))</f>
        <v>0.75</v>
      </c>
      <c r="I47" s="999" t="s">
        <v>551</v>
      </c>
      <c r="J47" s="1000"/>
      <c r="K47" s="1001"/>
      <c r="N47" s="1062" t="s">
        <v>172</v>
      </c>
      <c r="O47" s="1063"/>
      <c r="P47" s="1063"/>
      <c r="Q47" s="1064"/>
      <c r="R47" s="490" t="s">
        <v>113</v>
      </c>
      <c r="S47" s="486">
        <v>0.75</v>
      </c>
    </row>
    <row r="48" spans="4:19" ht="14.25" thickBot="1">
      <c r="D48" s="421">
        <f>$D$46*(1-($K$39+$B$31))</f>
        <v>0</v>
      </c>
      <c r="G48" s="534">
        <f>1-(D47*(1-(S16+K39)))</f>
        <v>0.8</v>
      </c>
      <c r="I48" s="1142">
        <v>0</v>
      </c>
      <c r="J48" s="1143"/>
      <c r="K48" s="1144"/>
      <c r="N48" s="1276" t="s">
        <v>959</v>
      </c>
      <c r="O48" s="1277"/>
      <c r="P48" s="777">
        <v>1</v>
      </c>
      <c r="Q48" s="1320" t="s">
        <v>997</v>
      </c>
      <c r="R48" s="1321"/>
      <c r="S48" s="332">
        <v>1</v>
      </c>
    </row>
    <row r="49" spans="14:19" ht="14.25" thickBot="1">
      <c r="N49" s="988" t="s">
        <v>131</v>
      </c>
      <c r="O49" s="77" t="s">
        <v>56</v>
      </c>
      <c r="P49" s="554">
        <f>MIN(INT(($R$4*P48*1.3)*(1+$B$33+$E$33+$I$48)),ReadMe!$M$94)</f>
        <v>9240</v>
      </c>
      <c r="Q49" s="975" t="s">
        <v>154</v>
      </c>
      <c r="R49" s="194" t="s">
        <v>56</v>
      </c>
      <c r="S49" s="160">
        <f>MIN(INT(P49*$E$41),ReadMe!$M$94)</f>
        <v>12936</v>
      </c>
    </row>
    <row r="50" spans="2:19" ht="14.25" thickBot="1">
      <c r="B50" s="1023" t="s">
        <v>64</v>
      </c>
      <c r="C50" s="1024"/>
      <c r="D50" s="1024"/>
      <c r="E50" s="1024"/>
      <c r="F50" s="1024"/>
      <c r="G50" s="1024"/>
      <c r="H50" s="1024"/>
      <c r="I50" s="1024"/>
      <c r="J50" s="1024"/>
      <c r="K50" s="1024"/>
      <c r="L50" s="1025"/>
      <c r="N50" s="1051"/>
      <c r="O50" s="44" t="s">
        <v>57</v>
      </c>
      <c r="P50" s="555">
        <f>INT((P49+P51)/2)</f>
        <v>10780</v>
      </c>
      <c r="Q50" s="1069"/>
      <c r="R50" s="80" t="s">
        <v>57</v>
      </c>
      <c r="S50" s="161">
        <f>INT((S49+S51)/2)</f>
        <v>15708</v>
      </c>
    </row>
    <row r="51" spans="2:19" ht="14.25" thickBot="1">
      <c r="B51" s="1018" t="s">
        <v>1146</v>
      </c>
      <c r="C51" s="1020"/>
      <c r="D51" s="1020"/>
      <c r="E51" s="1020"/>
      <c r="F51" s="1020"/>
      <c r="G51" s="1020"/>
      <c r="H51" s="1020"/>
      <c r="I51" s="1020"/>
      <c r="J51" s="1020"/>
      <c r="K51" s="1020"/>
      <c r="L51" s="1016"/>
      <c r="N51" s="989"/>
      <c r="O51" s="15" t="s">
        <v>58</v>
      </c>
      <c r="P51" s="556">
        <f>MIN(INT(($T$4*P48*1.3)*(1+$B$33+$E$33+$I$48)),ReadMe!$M$94)</f>
        <v>12320</v>
      </c>
      <c r="Q51" s="1070"/>
      <c r="R51" s="87" t="s">
        <v>58</v>
      </c>
      <c r="S51" s="162">
        <f>MIN(INT(P51*$F$41),ReadMe!$M$94)</f>
        <v>18480</v>
      </c>
    </row>
    <row r="52" spans="2:19" ht="14.25" thickBot="1">
      <c r="B52" s="1017" t="s">
        <v>763</v>
      </c>
      <c r="C52" s="1013"/>
      <c r="D52" s="1013"/>
      <c r="E52" s="1013"/>
      <c r="F52" s="1013"/>
      <c r="G52" s="1013"/>
      <c r="H52" s="1013"/>
      <c r="I52" s="1013"/>
      <c r="J52" s="1013"/>
      <c r="K52" s="1013"/>
      <c r="L52" s="1010"/>
      <c r="N52" s="1065" t="s">
        <v>127</v>
      </c>
      <c r="O52" s="1066"/>
      <c r="P52" s="1067"/>
      <c r="Q52" s="1065">
        <f>INT(P50*(1-$G$41)+S50*$G$41)</f>
        <v>12997</v>
      </c>
      <c r="R52" s="1066"/>
      <c r="S52" s="1067"/>
    </row>
    <row r="53" spans="2:19" ht="14.25" thickBot="1">
      <c r="B53" s="1017" t="s">
        <v>764</v>
      </c>
      <c r="C53" s="1013"/>
      <c r="D53" s="1013"/>
      <c r="E53" s="1013"/>
      <c r="F53" s="1013"/>
      <c r="G53" s="1013"/>
      <c r="H53" s="1013"/>
      <c r="I53" s="1013"/>
      <c r="J53" s="1013"/>
      <c r="K53" s="1013"/>
      <c r="L53" s="1010"/>
      <c r="N53" s="1065" t="s">
        <v>407</v>
      </c>
      <c r="O53" s="1066"/>
      <c r="P53" s="1067"/>
      <c r="Q53" s="1294">
        <f>Q52*S48</f>
        <v>12997</v>
      </c>
      <c r="R53" s="1295"/>
      <c r="S53" s="1296"/>
    </row>
    <row r="54" spans="2:12" ht="14.25" thickBot="1">
      <c r="B54" s="1029" t="s">
        <v>884</v>
      </c>
      <c r="C54" s="1031"/>
      <c r="D54" s="1031"/>
      <c r="E54" s="1031"/>
      <c r="F54" s="1031"/>
      <c r="G54" s="1031"/>
      <c r="H54" s="1031"/>
      <c r="I54" s="1031"/>
      <c r="J54" s="1031"/>
      <c r="K54" s="1031"/>
      <c r="L54" s="1022"/>
    </row>
    <row r="55" ht="14.25" thickBot="1"/>
    <row r="56" spans="2:12" ht="13.5">
      <c r="B56" s="1023" t="s">
        <v>393</v>
      </c>
      <c r="C56" s="1024"/>
      <c r="D56" s="1024"/>
      <c r="E56" s="1024"/>
      <c r="F56" s="1024"/>
      <c r="G56" s="1024"/>
      <c r="H56" s="1024"/>
      <c r="I56" s="1024"/>
      <c r="J56" s="1024"/>
      <c r="K56" s="1024"/>
      <c r="L56" s="1025"/>
    </row>
    <row r="57" spans="2:12" ht="13.5">
      <c r="B57" s="1017" t="s">
        <v>894</v>
      </c>
      <c r="C57" s="1013"/>
      <c r="D57" s="1013"/>
      <c r="E57" s="1013"/>
      <c r="F57" s="1013"/>
      <c r="G57" s="1013"/>
      <c r="H57" s="1013"/>
      <c r="I57" s="1013"/>
      <c r="J57" s="1013"/>
      <c r="K57" s="1013"/>
      <c r="L57" s="1010"/>
    </row>
    <row r="58" spans="2:12" ht="13.5">
      <c r="B58" s="1017" t="s">
        <v>895</v>
      </c>
      <c r="C58" s="1013"/>
      <c r="D58" s="1013"/>
      <c r="E58" s="1013"/>
      <c r="F58" s="1013"/>
      <c r="G58" s="1013"/>
      <c r="H58" s="1013"/>
      <c r="I58" s="1013"/>
      <c r="J58" s="1013"/>
      <c r="K58" s="1013"/>
      <c r="L58" s="1010"/>
    </row>
    <row r="59" spans="2:12" ht="13.5">
      <c r="B59" s="1017" t="s">
        <v>896</v>
      </c>
      <c r="C59" s="1013"/>
      <c r="D59" s="1013"/>
      <c r="E59" s="1013"/>
      <c r="F59" s="1013"/>
      <c r="G59" s="1013"/>
      <c r="H59" s="1013"/>
      <c r="I59" s="1013"/>
      <c r="J59" s="1013"/>
      <c r="K59" s="1013"/>
      <c r="L59" s="1010"/>
    </row>
    <row r="60" spans="2:12" ht="13.5">
      <c r="B60" s="1017" t="s">
        <v>897</v>
      </c>
      <c r="C60" s="1013"/>
      <c r="D60" s="1013"/>
      <c r="E60" s="1013"/>
      <c r="F60" s="1013"/>
      <c r="G60" s="1013"/>
      <c r="H60" s="1013"/>
      <c r="I60" s="1013"/>
      <c r="J60" s="1013"/>
      <c r="K60" s="1013"/>
      <c r="L60" s="1010"/>
    </row>
    <row r="61" spans="2:12" ht="14.25" thickBot="1">
      <c r="B61" s="1029" t="s">
        <v>898</v>
      </c>
      <c r="C61" s="1031"/>
      <c r="D61" s="1031"/>
      <c r="E61" s="1031"/>
      <c r="F61" s="1031"/>
      <c r="G61" s="1031"/>
      <c r="H61" s="1031"/>
      <c r="I61" s="1031"/>
      <c r="J61" s="1031"/>
      <c r="K61" s="1031"/>
      <c r="L61" s="1022"/>
    </row>
  </sheetData>
  <sheetProtection/>
  <protectedRanges>
    <protectedRange sqref="D44:D45 D47" name="範囲1_1_1"/>
  </protectedRanges>
  <mergeCells count="112">
    <mergeCell ref="B60:L60"/>
    <mergeCell ref="B61:L61"/>
    <mergeCell ref="B57:L57"/>
    <mergeCell ref="B58:L58"/>
    <mergeCell ref="B59:L59"/>
    <mergeCell ref="U8:U10"/>
    <mergeCell ref="T23:T25"/>
    <mergeCell ref="B54:L54"/>
    <mergeCell ref="B56:L56"/>
    <mergeCell ref="Q53:S53"/>
    <mergeCell ref="N41:U41"/>
    <mergeCell ref="N43:N45"/>
    <mergeCell ref="N48:O48"/>
    <mergeCell ref="Q48:R48"/>
    <mergeCell ref="N49:N51"/>
    <mergeCell ref="W2:X2"/>
    <mergeCell ref="W3:X3"/>
    <mergeCell ref="B39:C39"/>
    <mergeCell ref="B40:D40"/>
    <mergeCell ref="B38:C38"/>
    <mergeCell ref="N2:P2"/>
    <mergeCell ref="B31:D31"/>
    <mergeCell ref="E31:F31"/>
    <mergeCell ref="E32:F32"/>
    <mergeCell ref="B33:D33"/>
    <mergeCell ref="N53:P53"/>
    <mergeCell ref="N36:N38"/>
    <mergeCell ref="R42:S42"/>
    <mergeCell ref="S39:U39"/>
    <mergeCell ref="U43:U45"/>
    <mergeCell ref="T43:T45"/>
    <mergeCell ref="B32:D32"/>
    <mergeCell ref="I48:K48"/>
    <mergeCell ref="B45:C45"/>
    <mergeCell ref="E45:F45"/>
    <mergeCell ref="B35:D35"/>
    <mergeCell ref="B44:C44"/>
    <mergeCell ref="E44:F44"/>
    <mergeCell ref="I44:J44"/>
    <mergeCell ref="I43:J43"/>
    <mergeCell ref="B46:C46"/>
    <mergeCell ref="F1:P1"/>
    <mergeCell ref="B50:L50"/>
    <mergeCell ref="B42:D42"/>
    <mergeCell ref="B4:D4"/>
    <mergeCell ref="N27:U27"/>
    <mergeCell ref="R28:S28"/>
    <mergeCell ref="N29:N31"/>
    <mergeCell ref="Q29:Q31"/>
    <mergeCell ref="Q43:Q45"/>
    <mergeCell ref="N39:R39"/>
    <mergeCell ref="B53:L53"/>
    <mergeCell ref="B52:L52"/>
    <mergeCell ref="B51:L51"/>
    <mergeCell ref="N47:Q47"/>
    <mergeCell ref="I47:K47"/>
    <mergeCell ref="B47:C47"/>
    <mergeCell ref="E47:F47"/>
    <mergeCell ref="Q49:Q51"/>
    <mergeCell ref="N52:P52"/>
    <mergeCell ref="Q52:S52"/>
    <mergeCell ref="E46:F46"/>
    <mergeCell ref="I33:K33"/>
    <mergeCell ref="I34:K34"/>
    <mergeCell ref="B41:D41"/>
    <mergeCell ref="I46:K46"/>
    <mergeCell ref="I41:K41"/>
    <mergeCell ref="I42:J42"/>
    <mergeCell ref="I37:K37"/>
    <mergeCell ref="E33:F33"/>
    <mergeCell ref="E42:G42"/>
    <mergeCell ref="R2:T2"/>
    <mergeCell ref="B29:K29"/>
    <mergeCell ref="B30:D30"/>
    <mergeCell ref="E30:F30"/>
    <mergeCell ref="B2:C2"/>
    <mergeCell ref="B26:C26"/>
    <mergeCell ref="B9:C9"/>
    <mergeCell ref="N23:N25"/>
    <mergeCell ref="Q23:Q25"/>
    <mergeCell ref="T8:T10"/>
    <mergeCell ref="B37:C37"/>
    <mergeCell ref="B36:D36"/>
    <mergeCell ref="W9:X9"/>
    <mergeCell ref="W10:X10"/>
    <mergeCell ref="N34:U34"/>
    <mergeCell ref="Q36:Q38"/>
    <mergeCell ref="N32:R32"/>
    <mergeCell ref="Q11:R13"/>
    <mergeCell ref="S11:U13"/>
    <mergeCell ref="R35:S35"/>
    <mergeCell ref="S32:U32"/>
    <mergeCell ref="T29:T31"/>
    <mergeCell ref="U29:U31"/>
    <mergeCell ref="T36:T38"/>
    <mergeCell ref="U36:U38"/>
    <mergeCell ref="N6:U6"/>
    <mergeCell ref="R7:S7"/>
    <mergeCell ref="N8:N10"/>
    <mergeCell ref="N17:N19"/>
    <mergeCell ref="Q17:Q19"/>
    <mergeCell ref="N15:U15"/>
    <mergeCell ref="Q8:Q10"/>
    <mergeCell ref="N11:N13"/>
    <mergeCell ref="T16:U16"/>
    <mergeCell ref="T17:T19"/>
    <mergeCell ref="W24:X24"/>
    <mergeCell ref="U23:U25"/>
    <mergeCell ref="W18:X18"/>
    <mergeCell ref="W12:X12"/>
    <mergeCell ref="U17:U19"/>
    <mergeCell ref="N21:U21"/>
  </mergeCells>
  <printOptions/>
  <pageMargins left="0.75" right="0.75" top="1" bottom="1" header="0.512" footer="0.512"/>
  <pageSetup horizontalDpi="300" verticalDpi="300" orientation="portrait" paperSize="9" r:id="rId2"/>
  <ignoredErrors>
    <ignoredError sqref="G27:J27" formulaRange="1"/>
  </ignoredErrors>
  <legacyDrawing r:id="rId1"/>
</worksheet>
</file>

<file path=xl/worksheets/sheet17.xml><?xml version="1.0" encoding="utf-8"?>
<worksheet xmlns="http://schemas.openxmlformats.org/spreadsheetml/2006/main" xmlns:r="http://schemas.openxmlformats.org/officeDocument/2006/relationships">
  <dimension ref="A1:AA71"/>
  <sheetViews>
    <sheetView workbookViewId="0" topLeftCell="A1">
      <selection activeCell="A1" sqref="A1"/>
    </sheetView>
  </sheetViews>
  <sheetFormatPr defaultColWidth="9.00390625" defaultRowHeight="13.5"/>
  <cols>
    <col min="1" max="1" width="2.625" style="0" customWidth="1"/>
    <col min="2" max="11" width="5.625" style="0" customWidth="1"/>
    <col min="12" max="13" width="2.625" style="0" customWidth="1"/>
    <col min="21" max="21" width="1.625" style="0" customWidth="1"/>
    <col min="22" max="26" width="9.00390625" style="879" customWidth="1"/>
  </cols>
  <sheetData>
    <row r="1" spans="6:26" ht="24.75" thickBot="1">
      <c r="F1" s="990" t="s">
        <v>697</v>
      </c>
      <c r="G1" s="990"/>
      <c r="H1" s="990"/>
      <c r="I1" s="990"/>
      <c r="J1" s="990"/>
      <c r="K1" s="990"/>
      <c r="L1" s="990"/>
      <c r="M1" s="990"/>
      <c r="N1" s="990"/>
      <c r="O1" s="990"/>
      <c r="P1" s="990"/>
      <c r="V1" s="878"/>
      <c r="W1" s="878"/>
      <c r="X1" s="878"/>
      <c r="Y1" s="878"/>
      <c r="Z1" s="878"/>
    </row>
    <row r="2" spans="2:25" ht="14.25" thickBot="1">
      <c r="B2" s="1078" t="s">
        <v>682</v>
      </c>
      <c r="C2" s="1094"/>
      <c r="D2" s="2">
        <v>150</v>
      </c>
      <c r="E2" s="1"/>
      <c r="F2" s="3" t="s">
        <v>129</v>
      </c>
      <c r="G2" s="3" t="s">
        <v>525</v>
      </c>
      <c r="H2" s="3" t="s">
        <v>526</v>
      </c>
      <c r="I2" s="3" t="s">
        <v>528</v>
      </c>
      <c r="J2" s="3" t="s">
        <v>527</v>
      </c>
      <c r="K2" s="26" t="s">
        <v>430</v>
      </c>
      <c r="N2" s="991" t="s">
        <v>104</v>
      </c>
      <c r="O2" s="992"/>
      <c r="P2" s="987"/>
      <c r="R2" s="1101" t="s">
        <v>418</v>
      </c>
      <c r="S2" s="1102"/>
      <c r="T2" s="1103"/>
      <c r="V2" s="1165" t="s">
        <v>775</v>
      </c>
      <c r="W2" s="1166"/>
      <c r="X2" s="1166"/>
      <c r="Y2" s="1167"/>
    </row>
    <row r="3" spans="2:25" ht="14.25" thickBot="1">
      <c r="B3" s="5" t="s">
        <v>40</v>
      </c>
      <c r="C3" s="569"/>
      <c r="D3" s="6">
        <f>((D2-1)*5+IF(D2&gt;=120,35,IF(D2&gt;=70,30,25)))-(G3+H3+I3+J3)</f>
        <v>0</v>
      </c>
      <c r="E3" s="7" t="s">
        <v>41</v>
      </c>
      <c r="F3" s="8"/>
      <c r="G3" s="8">
        <v>67</v>
      </c>
      <c r="H3" s="8">
        <v>705</v>
      </c>
      <c r="I3" s="8">
        <v>4</v>
      </c>
      <c r="J3" s="8">
        <v>4</v>
      </c>
      <c r="K3" s="9"/>
      <c r="N3" s="10" t="s">
        <v>69</v>
      </c>
      <c r="O3" s="11" t="s">
        <v>70</v>
      </c>
      <c r="P3" s="12" t="s">
        <v>71</v>
      </c>
      <c r="R3" s="1" t="s">
        <v>69</v>
      </c>
      <c r="S3" s="3" t="s">
        <v>70</v>
      </c>
      <c r="T3" s="4" t="s">
        <v>71</v>
      </c>
      <c r="V3" s="880" t="s">
        <v>134</v>
      </c>
      <c r="W3" s="881">
        <f>(2*20)/100</f>
        <v>0.4</v>
      </c>
      <c r="X3" s="882" t="s">
        <v>51</v>
      </c>
      <c r="Y3" s="883">
        <f>(100+5*(20/2))/100</f>
        <v>1.5</v>
      </c>
    </row>
    <row r="4" spans="2:25" ht="14.25" thickBot="1">
      <c r="B4" s="1023" t="s">
        <v>136</v>
      </c>
      <c r="C4" s="1024"/>
      <c r="D4" s="1024"/>
      <c r="E4" s="7" t="s">
        <v>42</v>
      </c>
      <c r="F4" s="8">
        <v>126</v>
      </c>
      <c r="G4" s="8"/>
      <c r="H4" s="8">
        <v>7</v>
      </c>
      <c r="I4" s="8"/>
      <c r="J4" s="8"/>
      <c r="K4" s="9"/>
      <c r="N4" s="14">
        <f>P4*D25</f>
        <v>10325.18664</v>
      </c>
      <c r="O4" s="15">
        <f>(P4+N4)/2</f>
        <v>11236.23252</v>
      </c>
      <c r="P4" s="16">
        <f>$Q$4*($F$28*$D$13+INT(($F$28-$F$25)*$E$31)+INT($F$28*($K$41+$K$46-1)))/100</f>
        <v>12147.2784</v>
      </c>
      <c r="Q4" s="421">
        <f>1.35*(4*$H$28+$G$28)</f>
        <v>5086.8</v>
      </c>
      <c r="R4" s="14">
        <f>N4*$G$47*(1-$G$44/100)</f>
        <v>8260.149312</v>
      </c>
      <c r="S4" s="15">
        <f>O4*$G$47*(1-$G$44/100)</f>
        <v>8988.986016</v>
      </c>
      <c r="T4" s="16">
        <f>P4*$G$47*(1-$G$44/100)</f>
        <v>9717.82272</v>
      </c>
      <c r="V4" s="877" t="s">
        <v>704</v>
      </c>
      <c r="W4" s="884">
        <f>MIN(INT(($R$4*Y3)*(1+$B$33+$E$33+$B$51)),ReadMe!$M$94)</f>
        <v>12390</v>
      </c>
      <c r="X4" s="885" t="s">
        <v>639</v>
      </c>
      <c r="Y4" s="884">
        <f>MIN(INT(W4*E41),ReadMe!$M$94)</f>
        <v>16726</v>
      </c>
    </row>
    <row r="5" spans="2:25" ht="14.25" thickBot="1">
      <c r="B5" s="169" t="s">
        <v>43</v>
      </c>
      <c r="C5" s="416"/>
      <c r="D5" s="170">
        <v>6</v>
      </c>
      <c r="E5" s="7" t="s">
        <v>44</v>
      </c>
      <c r="F5" s="8"/>
      <c r="G5" s="8"/>
      <c r="H5" s="8"/>
      <c r="I5" s="8"/>
      <c r="J5" s="8"/>
      <c r="K5" s="9"/>
      <c r="O5" s="342"/>
      <c r="P5" s="421">
        <f>$Q$4*($F$28*$C$13+INT(($F$28-$F$25)*$E$31)+INT($F$28*($K$46-1)))/100</f>
        <v>11135.0052</v>
      </c>
      <c r="Q5" s="342"/>
      <c r="R5" s="342"/>
      <c r="S5" s="342"/>
      <c r="T5" s="342"/>
      <c r="V5" s="886" t="s">
        <v>705</v>
      </c>
      <c r="W5" s="807">
        <f>INT((W4+W6)/2)</f>
        <v>13483</v>
      </c>
      <c r="X5" s="887" t="s">
        <v>640</v>
      </c>
      <c r="Y5" s="807">
        <f>INT((Y4+Y6)/2)</f>
        <v>21481</v>
      </c>
    </row>
    <row r="6" spans="2:27" ht="14.25" thickBot="1">
      <c r="B6" s="37" t="s">
        <v>698</v>
      </c>
      <c r="C6" s="654"/>
      <c r="D6" s="142">
        <v>30</v>
      </c>
      <c r="E6" s="43" t="s">
        <v>45</v>
      </c>
      <c r="F6" s="8"/>
      <c r="G6" s="8">
        <v>10</v>
      </c>
      <c r="H6" s="8">
        <v>20</v>
      </c>
      <c r="I6" s="8">
        <v>10</v>
      </c>
      <c r="J6" s="8">
        <v>10</v>
      </c>
      <c r="K6" s="9">
        <v>10</v>
      </c>
      <c r="O6" s="977" t="s">
        <v>702</v>
      </c>
      <c r="P6" s="978"/>
      <c r="Q6" s="978"/>
      <c r="R6" s="978"/>
      <c r="S6" s="978"/>
      <c r="T6" s="979"/>
      <c r="V6" s="888" t="s">
        <v>638</v>
      </c>
      <c r="W6" s="889">
        <f>MIN(INT(($T$4*Y3)*(1+$B$33+$E$33+$B$51)),ReadMe!$M$94)</f>
        <v>14576</v>
      </c>
      <c r="X6" s="890" t="s">
        <v>641</v>
      </c>
      <c r="Y6" s="889">
        <f>MIN(INT(W6*F41),ReadMe!$M$94)</f>
        <v>26236</v>
      </c>
      <c r="AA6" s="22"/>
    </row>
    <row r="7" spans="2:27" ht="14.25" thickBot="1">
      <c r="B7" s="857" t="s">
        <v>463</v>
      </c>
      <c r="C7" s="41"/>
      <c r="D7" s="9">
        <v>30</v>
      </c>
      <c r="E7" s="43" t="s">
        <v>46</v>
      </c>
      <c r="F7" s="8"/>
      <c r="G7" s="8"/>
      <c r="H7" s="8">
        <v>7</v>
      </c>
      <c r="I7" s="8"/>
      <c r="J7" s="8"/>
      <c r="K7" s="9"/>
      <c r="O7" s="263" t="s">
        <v>227</v>
      </c>
      <c r="P7" s="221">
        <f>D6</f>
        <v>30</v>
      </c>
      <c r="Q7" s="240" t="s">
        <v>51</v>
      </c>
      <c r="R7" s="563">
        <f>(140+2*D6)/100</f>
        <v>2</v>
      </c>
      <c r="S7" s="564" t="s">
        <v>130</v>
      </c>
      <c r="T7" s="565">
        <v>500</v>
      </c>
      <c r="V7" s="1657" t="s">
        <v>786</v>
      </c>
      <c r="W7" s="1658"/>
      <c r="X7" s="1659">
        <f>INT(W5*(1-G41)+Y5*G41)</f>
        <v>18681</v>
      </c>
      <c r="Y7" s="1660"/>
      <c r="Z7" s="422">
        <f>X7/$P$4*$P$5</f>
        <v>17124.25</v>
      </c>
      <c r="AA7" s="559"/>
    </row>
    <row r="8" spans="2:20" ht="13.5" customHeight="1" thickBot="1">
      <c r="B8" s="679" t="s">
        <v>466</v>
      </c>
      <c r="C8" s="15"/>
      <c r="D8" s="247">
        <v>30</v>
      </c>
      <c r="E8" s="43" t="s">
        <v>47</v>
      </c>
      <c r="F8" s="8">
        <v>2</v>
      </c>
      <c r="G8" s="8"/>
      <c r="H8" s="8">
        <v>2</v>
      </c>
      <c r="I8" s="8"/>
      <c r="J8" s="8"/>
      <c r="K8" s="9">
        <v>7</v>
      </c>
      <c r="O8" s="988" t="s">
        <v>131</v>
      </c>
      <c r="P8" s="85" t="s">
        <v>56</v>
      </c>
      <c r="Q8" s="554">
        <f>MIN(INT(($R$4*R7)*(1+$B$33+$E$33+$B$51)),ReadMe!$M$94)</f>
        <v>16520</v>
      </c>
      <c r="R8" s="1331" t="s">
        <v>683</v>
      </c>
      <c r="S8" s="96" t="s">
        <v>56</v>
      </c>
      <c r="T8" s="160">
        <f>MIN(INT(Q8*E41),ReadMe!$M$94)</f>
        <v>22302</v>
      </c>
    </row>
    <row r="9" spans="2:20" ht="13.5">
      <c r="B9" s="862" t="s">
        <v>462</v>
      </c>
      <c r="C9" s="863"/>
      <c r="D9" s="223">
        <v>30</v>
      </c>
      <c r="E9" s="43" t="s">
        <v>48</v>
      </c>
      <c r="F9" s="8"/>
      <c r="G9" s="8">
        <v>7</v>
      </c>
      <c r="H9" s="8">
        <v>7</v>
      </c>
      <c r="I9" s="8">
        <v>7</v>
      </c>
      <c r="J9" s="8">
        <v>7</v>
      </c>
      <c r="K9" s="9"/>
      <c r="O9" s="1051"/>
      <c r="P9" s="94" t="s">
        <v>57</v>
      </c>
      <c r="Q9" s="555">
        <f>INT((Q8+Q10)/2)</f>
        <v>17977</v>
      </c>
      <c r="R9" s="1332"/>
      <c r="S9" s="97" t="s">
        <v>57</v>
      </c>
      <c r="T9" s="161">
        <f>INT((T8+T10)/2)</f>
        <v>28642</v>
      </c>
    </row>
    <row r="10" spans="2:20" ht="14.25" thickBot="1">
      <c r="B10" s="7" t="s">
        <v>104</v>
      </c>
      <c r="C10" s="44"/>
      <c r="D10" s="543">
        <f>IF(D9&gt;0,(5+INT(D9/2))/100,0)</f>
        <v>0.2</v>
      </c>
      <c r="E10" s="43" t="s">
        <v>49</v>
      </c>
      <c r="F10" s="8"/>
      <c r="G10" s="8"/>
      <c r="H10" s="8">
        <v>10</v>
      </c>
      <c r="I10" s="8"/>
      <c r="J10" s="8"/>
      <c r="K10" s="9"/>
      <c r="O10" s="989"/>
      <c r="P10" s="95" t="s">
        <v>133</v>
      </c>
      <c r="Q10" s="556">
        <f>MIN(INT(($T$4*R7)*(1+$B$33+$E$33+$B$51)),ReadMe!$M$94)</f>
        <v>19435</v>
      </c>
      <c r="R10" s="1333"/>
      <c r="S10" s="98" t="s">
        <v>133</v>
      </c>
      <c r="T10" s="162">
        <f>MIN(INT(Q10*F41),ReadMe!$M$94)</f>
        <v>34983</v>
      </c>
    </row>
    <row r="11" spans="1:27" ht="14.25" thickBot="1">
      <c r="A11" s="421" t="b">
        <v>1</v>
      </c>
      <c r="B11" s="7" t="s">
        <v>545</v>
      </c>
      <c r="C11" s="44"/>
      <c r="D11" s="45">
        <f>30+3*D9</f>
        <v>120</v>
      </c>
      <c r="E11" s="43" t="s">
        <v>390</v>
      </c>
      <c r="F11" s="8"/>
      <c r="G11" s="8">
        <v>10</v>
      </c>
      <c r="H11" s="8">
        <v>20</v>
      </c>
      <c r="I11" s="8"/>
      <c r="J11" s="8"/>
      <c r="K11" s="9">
        <v>11</v>
      </c>
      <c r="O11" s="1282" t="s">
        <v>684</v>
      </c>
      <c r="P11" s="1283"/>
      <c r="Q11" s="1284"/>
      <c r="R11" s="1337">
        <f>INT(Q9*(1-$G$41)+T9*$G$41)</f>
        <v>24909</v>
      </c>
      <c r="S11" s="1337"/>
      <c r="T11" s="1338"/>
      <c r="U11" s="421">
        <f>R11/$P$4*$P$5</f>
        <v>22833.25</v>
      </c>
      <c r="V11" s="1546" t="s">
        <v>880</v>
      </c>
      <c r="W11" s="1548"/>
      <c r="X11" s="1546" t="s">
        <v>881</v>
      </c>
      <c r="Y11" s="1548"/>
      <c r="Z11" s="1546" t="s">
        <v>883</v>
      </c>
      <c r="AA11" s="1548"/>
    </row>
    <row r="12" spans="1:27" ht="14.25" thickBot="1">
      <c r="A12" s="421" t="str">
        <f>IF(A11=TRUE,"TRUE",IF(D12=1,"TRUE","FLASE"))</f>
        <v>TRUE</v>
      </c>
      <c r="B12" s="157" t="s">
        <v>632</v>
      </c>
      <c r="C12" s="859"/>
      <c r="D12" s="640"/>
      <c r="E12" s="43" t="s">
        <v>339</v>
      </c>
      <c r="F12" s="8"/>
      <c r="G12" s="8"/>
      <c r="H12" s="8"/>
      <c r="I12" s="8"/>
      <c r="J12" s="8"/>
      <c r="K12" s="9"/>
      <c r="N12" s="421">
        <f>INT(T7*$W$3)*$Z$7</f>
        <v>3424850</v>
      </c>
      <c r="O12" s="1205" t="s">
        <v>637</v>
      </c>
      <c r="P12" s="1254"/>
      <c r="Q12" s="1255"/>
      <c r="R12" s="1297">
        <f>(U11*T7+N12)*G46</f>
        <v>14841475</v>
      </c>
      <c r="S12" s="1298"/>
      <c r="T12" s="1299"/>
      <c r="V12" s="1306">
        <f>INT($R$12-($U$11*8.5*$Q$57+8.5*$W$3*$Z$7))+P62</f>
        <v>14969819</v>
      </c>
      <c r="W12" s="1553"/>
      <c r="X12" s="1306">
        <f>INT($R$12-($U$11*8.5*$T$57+8.5*$W$3*$Z$7))+S62</f>
        <v>15347778</v>
      </c>
      <c r="Y12" s="1553"/>
      <c r="Z12" s="1306">
        <f>INT($R$12-($U$11*8.5*$T$57+8.5*$W$3*$Z$7)-($U$11*8.5*$Q$57+8.5*$W$3*$Z$7))+P62+S62</f>
        <v>15476122</v>
      </c>
      <c r="AA12" s="1553"/>
    </row>
    <row r="13" spans="2:15" ht="14.25" thickBot="1">
      <c r="B13" s="865"/>
      <c r="C13" s="866">
        <f>IF(A12="true",1+(D11/240)*D10,1)</f>
        <v>1.1</v>
      </c>
      <c r="D13" s="867">
        <f>IF(A12="true",1+D10,1)</f>
        <v>1.2</v>
      </c>
      <c r="E13" s="43" t="s">
        <v>389</v>
      </c>
      <c r="F13" s="8"/>
      <c r="G13" s="8"/>
      <c r="H13" s="8"/>
      <c r="I13" s="8"/>
      <c r="J13" s="8"/>
      <c r="K13" s="9"/>
      <c r="O13" t="s">
        <v>701</v>
      </c>
    </row>
    <row r="14" spans="2:20" ht="14.25" thickBot="1">
      <c r="B14" s="23"/>
      <c r="C14" s="22"/>
      <c r="D14" s="143"/>
      <c r="E14" s="43" t="s">
        <v>59</v>
      </c>
      <c r="F14" s="8"/>
      <c r="G14" s="8">
        <v>5</v>
      </c>
      <c r="H14" s="8">
        <v>14</v>
      </c>
      <c r="I14" s="8"/>
      <c r="J14" s="8"/>
      <c r="K14" s="9"/>
      <c r="O14" s="977" t="s">
        <v>464</v>
      </c>
      <c r="P14" s="978"/>
      <c r="Q14" s="978"/>
      <c r="R14" s="978"/>
      <c r="S14" s="301" t="s">
        <v>51</v>
      </c>
      <c r="T14" s="302">
        <v>1.4</v>
      </c>
    </row>
    <row r="15" spans="2:21" ht="13.5">
      <c r="B15" s="23"/>
      <c r="C15" s="22"/>
      <c r="D15" s="143"/>
      <c r="E15" s="43" t="s">
        <v>60</v>
      </c>
      <c r="F15" s="8">
        <v>15</v>
      </c>
      <c r="G15" s="8"/>
      <c r="H15" s="8"/>
      <c r="I15" s="8"/>
      <c r="J15" s="8"/>
      <c r="K15" s="9"/>
      <c r="O15" s="988" t="s">
        <v>107</v>
      </c>
      <c r="P15" s="77" t="s">
        <v>56</v>
      </c>
      <c r="Q15" s="554">
        <f>MIN(INT(($R$4*T14)*(1+$B$33+$E$33+$B$51)),ReadMe!$M$94)</f>
        <v>11564</v>
      </c>
      <c r="R15" s="1292" t="s">
        <v>683</v>
      </c>
      <c r="S15" s="88" t="s">
        <v>56</v>
      </c>
      <c r="T15" s="551">
        <f>MIN(INT(Q15*$E$41),ReadMe!$M$94)</f>
        <v>15611</v>
      </c>
      <c r="U15" s="680"/>
    </row>
    <row r="16" spans="2:20" ht="13.5">
      <c r="B16" s="23"/>
      <c r="C16" s="22"/>
      <c r="D16" s="143"/>
      <c r="E16" s="43" t="s">
        <v>61</v>
      </c>
      <c r="F16" s="8">
        <v>4</v>
      </c>
      <c r="G16" s="8">
        <v>8</v>
      </c>
      <c r="H16" s="8"/>
      <c r="I16" s="8"/>
      <c r="J16" s="8"/>
      <c r="K16" s="9"/>
      <c r="O16" s="1051"/>
      <c r="P16" s="44" t="s">
        <v>57</v>
      </c>
      <c r="Q16" s="555">
        <f>INT((Q15+Q17)/2)</f>
        <v>12584</v>
      </c>
      <c r="R16" s="1293"/>
      <c r="S16" s="80" t="s">
        <v>57</v>
      </c>
      <c r="T16" s="552">
        <f>INT((T15+T17)/2)</f>
        <v>20049</v>
      </c>
    </row>
    <row r="17" spans="2:20" ht="14.25" thickBot="1">
      <c r="B17" s="23"/>
      <c r="C17" s="22"/>
      <c r="D17" s="143"/>
      <c r="E17" s="43" t="s">
        <v>1059</v>
      </c>
      <c r="F17" s="8"/>
      <c r="G17" s="8">
        <v>3</v>
      </c>
      <c r="H17" s="8">
        <v>3</v>
      </c>
      <c r="I17" s="8">
        <v>3</v>
      </c>
      <c r="J17" s="8">
        <v>3</v>
      </c>
      <c r="K17" s="9"/>
      <c r="O17" s="989"/>
      <c r="P17" s="15" t="s">
        <v>58</v>
      </c>
      <c r="Q17" s="556">
        <f>MIN(INT(($T$4*T14)*(1+$B$33+$E$33+$B$51)),ReadMe!$M$94)</f>
        <v>13604</v>
      </c>
      <c r="R17" s="81" t="s">
        <v>112</v>
      </c>
      <c r="S17" s="87" t="s">
        <v>58</v>
      </c>
      <c r="T17" s="553">
        <f>MIN(INT(Q17*$F$41),ReadMe!$M$94)</f>
        <v>24487</v>
      </c>
    </row>
    <row r="18" spans="2:20" ht="14.25" thickBot="1">
      <c r="B18" s="48"/>
      <c r="C18" s="520"/>
      <c r="D18" s="239"/>
      <c r="E18" s="43" t="s">
        <v>1059</v>
      </c>
      <c r="F18" s="8">
        <v>1</v>
      </c>
      <c r="G18" s="8">
        <v>1</v>
      </c>
      <c r="H18" s="8">
        <v>1</v>
      </c>
      <c r="I18" s="8">
        <v>1</v>
      </c>
      <c r="J18" s="8">
        <v>1</v>
      </c>
      <c r="K18" s="9"/>
      <c r="O18" s="1329" t="s">
        <v>127</v>
      </c>
      <c r="P18" s="1330"/>
      <c r="Q18" s="1330"/>
      <c r="R18" s="1327">
        <f>INT(Q16*(1-$G$41)+T16*$G$41)</f>
        <v>17436</v>
      </c>
      <c r="S18" s="1327"/>
      <c r="T18" s="1328"/>
    </row>
    <row r="19" spans="2:20" ht="13.5">
      <c r="B19" s="1341" t="s">
        <v>699</v>
      </c>
      <c r="C19" s="1342"/>
      <c r="D19" s="1073">
        <v>10</v>
      </c>
      <c r="E19" s="43" t="s">
        <v>1059</v>
      </c>
      <c r="F19" s="8">
        <v>1</v>
      </c>
      <c r="G19" s="8">
        <v>1</v>
      </c>
      <c r="H19" s="8">
        <v>1</v>
      </c>
      <c r="I19" s="8">
        <v>1</v>
      </c>
      <c r="J19" s="8">
        <v>1</v>
      </c>
      <c r="K19" s="9"/>
      <c r="O19" s="1023" t="s">
        <v>50</v>
      </c>
      <c r="P19" s="1024"/>
      <c r="Q19" s="523" t="s">
        <v>56</v>
      </c>
      <c r="R19" s="1303">
        <f>Q15*5</f>
        <v>57820</v>
      </c>
      <c r="S19" s="1304"/>
      <c r="T19" s="1305"/>
    </row>
    <row r="20" spans="2:21" ht="13.5">
      <c r="B20" s="1661" t="s">
        <v>700</v>
      </c>
      <c r="C20" s="1662"/>
      <c r="D20" s="1344"/>
      <c r="E20" s="43" t="s">
        <v>1059</v>
      </c>
      <c r="F20" s="8"/>
      <c r="G20" s="8"/>
      <c r="H20" s="8"/>
      <c r="I20" s="8"/>
      <c r="J20" s="8"/>
      <c r="K20" s="9"/>
      <c r="O20" s="1334"/>
      <c r="P20" s="1335"/>
      <c r="Q20" s="524" t="s">
        <v>140</v>
      </c>
      <c r="R20" s="1345">
        <f>R18*5</f>
        <v>87180</v>
      </c>
      <c r="S20" s="1346"/>
      <c r="T20" s="1347"/>
      <c r="U20" s="421">
        <f>R20/$P$4*$P$5</f>
        <v>79915</v>
      </c>
    </row>
    <row r="21" spans="2:20" ht="14.25" thickBot="1">
      <c r="B21" s="1280" t="s">
        <v>703</v>
      </c>
      <c r="C21" s="1281"/>
      <c r="D21" s="29">
        <f>(D19*2)/100</f>
        <v>0.2</v>
      </c>
      <c r="E21" s="43" t="s">
        <v>970</v>
      </c>
      <c r="F21" s="8"/>
      <c r="G21" s="8">
        <v>2</v>
      </c>
      <c r="H21" s="8">
        <v>2</v>
      </c>
      <c r="I21" s="8">
        <v>2</v>
      </c>
      <c r="J21" s="8">
        <v>2</v>
      </c>
      <c r="K21" s="9"/>
      <c r="O21" s="1276"/>
      <c r="P21" s="1336"/>
      <c r="Q21" s="557" t="s">
        <v>58</v>
      </c>
      <c r="R21" s="1324">
        <f>T17*5</f>
        <v>122435</v>
      </c>
      <c r="S21" s="1325"/>
      <c r="T21" s="1326"/>
    </row>
    <row r="22" spans="2:23" ht="14.25" thickBot="1">
      <c r="B22" s="1276" t="s">
        <v>128</v>
      </c>
      <c r="C22" s="1277"/>
      <c r="D22" s="70">
        <v>0</v>
      </c>
      <c r="E22" s="7" t="s">
        <v>685</v>
      </c>
      <c r="F22" s="8"/>
      <c r="G22" s="8">
        <v>3</v>
      </c>
      <c r="H22" s="8">
        <v>3</v>
      </c>
      <c r="I22" s="8">
        <v>3</v>
      </c>
      <c r="J22" s="8">
        <v>3</v>
      </c>
      <c r="K22" s="9"/>
      <c r="O22" s="1322" t="s">
        <v>43</v>
      </c>
      <c r="P22" s="1323"/>
      <c r="Q22" s="153">
        <f>IF(D5-K37&lt;4,4,D5-K37)</f>
        <v>6</v>
      </c>
      <c r="R22" s="1348" t="s">
        <v>66</v>
      </c>
      <c r="S22" s="1349"/>
      <c r="T22" s="73">
        <f>IF(Q22=4,93,IF(Q22=5,87,IF(Q22=6,83,)))</f>
        <v>83</v>
      </c>
      <c r="W22" s="891"/>
    </row>
    <row r="23" spans="2:20" ht="14.25" thickBot="1">
      <c r="B23" s="10" t="s">
        <v>686</v>
      </c>
      <c r="C23" s="585"/>
      <c r="D23" s="20">
        <v>30</v>
      </c>
      <c r="E23" s="7" t="s">
        <v>1210</v>
      </c>
      <c r="F23" s="8"/>
      <c r="G23" s="8"/>
      <c r="H23" s="8"/>
      <c r="I23" s="8"/>
      <c r="J23" s="8"/>
      <c r="K23" s="9"/>
      <c r="N23" s="421">
        <f>INT(T22*$W$3)*$Z$7</f>
        <v>565100.25</v>
      </c>
      <c r="O23" s="1205" t="s">
        <v>637</v>
      </c>
      <c r="P23" s="1254"/>
      <c r="Q23" s="1255"/>
      <c r="R23" s="1310">
        <f>(U20*T22+N23)*G46</f>
        <v>7198045.25</v>
      </c>
      <c r="S23" s="1311"/>
      <c r="T23" s="1311"/>
    </row>
    <row r="24" spans="2:11" ht="14.25" thickBot="1">
      <c r="B24" s="1278" t="s">
        <v>129</v>
      </c>
      <c r="C24" s="1279"/>
      <c r="D24" s="63">
        <f>D23</f>
        <v>30</v>
      </c>
      <c r="E24" s="7" t="s">
        <v>1044</v>
      </c>
      <c r="F24" s="8"/>
      <c r="G24" s="8"/>
      <c r="H24" s="8"/>
      <c r="I24" s="8"/>
      <c r="J24" s="8"/>
      <c r="K24" s="9"/>
    </row>
    <row r="25" spans="1:26" ht="14.25" thickBot="1">
      <c r="A25" s="421">
        <f>(1+D25)/2</f>
        <v>0.925</v>
      </c>
      <c r="B25" s="1071" t="s">
        <v>113</v>
      </c>
      <c r="C25" s="1072"/>
      <c r="D25" s="82">
        <f>IF(D23=0,Q65,(Q65-0.5)+(55+ROUNDUP($D$23/2,0))/100)</f>
        <v>0.85</v>
      </c>
      <c r="E25" s="7" t="s">
        <v>823</v>
      </c>
      <c r="F25" s="8">
        <v>20</v>
      </c>
      <c r="G25" s="8"/>
      <c r="H25" s="8"/>
      <c r="I25" s="8"/>
      <c r="J25" s="8"/>
      <c r="K25" s="9"/>
      <c r="O25" s="977" t="s">
        <v>463</v>
      </c>
      <c r="P25" s="978"/>
      <c r="Q25" s="978"/>
      <c r="R25" s="979"/>
      <c r="S25" s="301" t="s">
        <v>51</v>
      </c>
      <c r="T25" s="302">
        <f>(520+6*D7)/100</f>
        <v>7</v>
      </c>
      <c r="Y25"/>
      <c r="Z25"/>
    </row>
    <row r="26" spans="2:26" ht="13.5">
      <c r="B26" s="1245" t="s">
        <v>687</v>
      </c>
      <c r="C26" s="1246"/>
      <c r="D26" s="2">
        <v>9</v>
      </c>
      <c r="E26" s="235" t="s">
        <v>688</v>
      </c>
      <c r="F26" s="8"/>
      <c r="G26" s="41">
        <f>ROUNDDOWN(G3*D27%,0)</f>
        <v>3</v>
      </c>
      <c r="H26" s="41">
        <f>ROUNDDOWN(H3*D27%,0)</f>
        <v>35</v>
      </c>
      <c r="I26" s="41">
        <f>ROUNDDOWN(I3*D27%,0)</f>
        <v>0</v>
      </c>
      <c r="J26" s="41">
        <f>ROUNDDOWN(J3*D27%,0)</f>
        <v>0</v>
      </c>
      <c r="K26" s="9">
        <v>23</v>
      </c>
      <c r="O26" s="988" t="s">
        <v>107</v>
      </c>
      <c r="P26" s="77" t="s">
        <v>56</v>
      </c>
      <c r="Q26" s="554">
        <f>MIN(INT(($R$4*T25*1.4)*(1+$B$33+$E$33+$B$51)),ReadMe!$M$94)</f>
        <v>80949</v>
      </c>
      <c r="R26" s="1292" t="s">
        <v>683</v>
      </c>
      <c r="S26" s="88" t="s">
        <v>56</v>
      </c>
      <c r="T26" s="551">
        <f>MIN(INT(Q26*$E$41),ReadMe!$M$94)</f>
        <v>109281</v>
      </c>
      <c r="Y26"/>
      <c r="Z26"/>
    </row>
    <row r="27" spans="2:26" ht="14.25" thickBot="1">
      <c r="B27" s="14" t="s">
        <v>62</v>
      </c>
      <c r="C27" s="571"/>
      <c r="D27" s="47">
        <f>ROUNDUP(D26/2,0)</f>
        <v>5</v>
      </c>
      <c r="E27" s="7" t="s">
        <v>63</v>
      </c>
      <c r="F27" s="44">
        <f>D24+D28</f>
        <v>30</v>
      </c>
      <c r="G27" s="44">
        <f>SUM(G4:G25)</f>
        <v>50</v>
      </c>
      <c r="H27" s="44">
        <f>SUM(H4:H25)</f>
        <v>97</v>
      </c>
      <c r="I27" s="44">
        <f>SUM(I4:I25)</f>
        <v>27</v>
      </c>
      <c r="J27" s="44">
        <f>SUM(J4:J25)</f>
        <v>27</v>
      </c>
      <c r="K27" s="45">
        <f>SUM(K3:K26)+D28</f>
        <v>51</v>
      </c>
      <c r="O27" s="1051"/>
      <c r="P27" s="44" t="s">
        <v>57</v>
      </c>
      <c r="Q27" s="555">
        <f>INT((Q26+Q28)/2)</f>
        <v>88091</v>
      </c>
      <c r="R27" s="1293"/>
      <c r="S27" s="80" t="s">
        <v>57</v>
      </c>
      <c r="T27" s="552">
        <f>INT((T26+T28)/2)</f>
        <v>140351</v>
      </c>
      <c r="Y27"/>
      <c r="Z27"/>
    </row>
    <row r="28" spans="2:20" ht="14.25" thickBot="1">
      <c r="B28" s="17" t="s">
        <v>1024</v>
      </c>
      <c r="C28" s="210"/>
      <c r="D28" s="332">
        <v>0</v>
      </c>
      <c r="E28" s="14" t="s">
        <v>55</v>
      </c>
      <c r="F28" s="49">
        <f>D22+SUM(F4:F27)</f>
        <v>199</v>
      </c>
      <c r="G28" s="579">
        <f>INT((G3+G26+G27)*(1+G31))</f>
        <v>120</v>
      </c>
      <c r="H28" s="579">
        <f>INT((H3+H26+H27)*(1+H31))</f>
        <v>912</v>
      </c>
      <c r="I28" s="579">
        <f>INT((I3+I26+I27)*(1+I31))</f>
        <v>31</v>
      </c>
      <c r="J28" s="579">
        <f>INT((J3+J26+J27)*(1+J31))</f>
        <v>31</v>
      </c>
      <c r="K28" s="580">
        <f>($J$28+$H$28*1.2+K27)*(1+K31)</f>
        <v>1176.3999999999999</v>
      </c>
      <c r="O28" s="989"/>
      <c r="P28" s="15" t="s">
        <v>58</v>
      </c>
      <c r="Q28" s="556">
        <f>MIN(INT(($T$4*T25*1.4)*(1+$B$33+$E$33+$B$51)),ReadMe!$M$94)</f>
        <v>95234</v>
      </c>
      <c r="R28" s="81" t="s">
        <v>112</v>
      </c>
      <c r="S28" s="87" t="s">
        <v>58</v>
      </c>
      <c r="T28" s="553">
        <f>MIN(INT(Q28*$F$41),ReadMe!$M$94)</f>
        <v>171421</v>
      </c>
    </row>
    <row r="29" spans="2:26" ht="14.25" thickBot="1">
      <c r="B29" s="1068" t="s">
        <v>645</v>
      </c>
      <c r="C29" s="1036"/>
      <c r="D29" s="1036"/>
      <c r="E29" s="1036"/>
      <c r="F29" s="1036"/>
      <c r="G29" s="1036"/>
      <c r="H29" s="1036"/>
      <c r="I29" s="1036"/>
      <c r="J29" s="1036"/>
      <c r="K29" s="1037"/>
      <c r="O29" s="1301" t="s">
        <v>127</v>
      </c>
      <c r="P29" s="1302"/>
      <c r="Q29" s="1302"/>
      <c r="R29" s="1300">
        <f>INT(Q27*(1-$G$41)+T27*$G$41)</f>
        <v>122060</v>
      </c>
      <c r="S29" s="1295"/>
      <c r="T29" s="1296"/>
      <c r="U29" s="58"/>
      <c r="Y29"/>
      <c r="Z29"/>
    </row>
    <row r="30" spans="2:11" ht="14.25" thickBot="1">
      <c r="B30" s="1085" t="s">
        <v>443</v>
      </c>
      <c r="C30" s="1086"/>
      <c r="D30" s="1087"/>
      <c r="E30" s="1038" t="s">
        <v>646</v>
      </c>
      <c r="F30" s="1039"/>
      <c r="G30" s="1" t="s">
        <v>159</v>
      </c>
      <c r="H30" s="3" t="s">
        <v>160</v>
      </c>
      <c r="I30" s="3" t="s">
        <v>161</v>
      </c>
      <c r="J30" s="3" t="s">
        <v>162</v>
      </c>
      <c r="K30" s="4" t="s">
        <v>651</v>
      </c>
    </row>
    <row r="31" spans="2:20" ht="14.25" thickBot="1">
      <c r="B31" s="1091">
        <v>0</v>
      </c>
      <c r="C31" s="1132"/>
      <c r="D31" s="1093"/>
      <c r="E31" s="1040">
        <v>0</v>
      </c>
      <c r="F31" s="1032"/>
      <c r="G31" s="575">
        <v>0</v>
      </c>
      <c r="H31" s="576">
        <v>0.09</v>
      </c>
      <c r="I31" s="576">
        <v>0</v>
      </c>
      <c r="J31" s="576">
        <v>0</v>
      </c>
      <c r="K31" s="577">
        <v>0</v>
      </c>
      <c r="O31" s="977" t="s">
        <v>504</v>
      </c>
      <c r="P31" s="978"/>
      <c r="Q31" s="978"/>
      <c r="R31" s="979"/>
      <c r="S31" s="301" t="s">
        <v>51</v>
      </c>
      <c r="T31" s="302">
        <f>(450+4*30)/100</f>
        <v>5.7</v>
      </c>
    </row>
    <row r="32" spans="2:20" ht="13.5">
      <c r="B32" s="1088" t="s">
        <v>644</v>
      </c>
      <c r="C32" s="1089"/>
      <c r="D32" s="1090"/>
      <c r="E32" s="984" t="s">
        <v>551</v>
      </c>
      <c r="F32" s="976"/>
      <c r="O32" s="988" t="s">
        <v>107</v>
      </c>
      <c r="P32" s="77" t="s">
        <v>56</v>
      </c>
      <c r="Q32" s="554">
        <f>MIN(INT(($R$4*T31*1.4)*(1+$B$33+$E$33+$B$51)),ReadMe!$M$94)</f>
        <v>65915</v>
      </c>
      <c r="R32" s="1292" t="s">
        <v>683</v>
      </c>
      <c r="S32" s="88" t="s">
        <v>56</v>
      </c>
      <c r="T32" s="551">
        <f>MIN(INT(Q32*$E$41),ReadMe!$M$94)</f>
        <v>88985</v>
      </c>
    </row>
    <row r="33" spans="2:20" ht="14.25" thickBot="1">
      <c r="B33" s="1091">
        <v>0</v>
      </c>
      <c r="C33" s="1092"/>
      <c r="D33" s="1093"/>
      <c r="E33" s="1040">
        <v>0</v>
      </c>
      <c r="F33" s="1032"/>
      <c r="O33" s="1051"/>
      <c r="P33" s="44" t="s">
        <v>57</v>
      </c>
      <c r="Q33" s="555">
        <f>INT((Q32+Q34)/2)</f>
        <v>71731</v>
      </c>
      <c r="R33" s="1293"/>
      <c r="S33" s="80" t="s">
        <v>57</v>
      </c>
      <c r="T33" s="552">
        <f>INT((T32+T34)/2)</f>
        <v>114285</v>
      </c>
    </row>
    <row r="34" spans="15:20" ht="14.25" thickBot="1">
      <c r="O34" s="989"/>
      <c r="P34" s="15" t="s">
        <v>58</v>
      </c>
      <c r="Q34" s="556">
        <f>MIN(INT(($T$4*T31*1.4)*(1+$B$33+$E$33+$B$51)),ReadMe!$M$94)</f>
        <v>77548</v>
      </c>
      <c r="R34" s="81" t="s">
        <v>112</v>
      </c>
      <c r="S34" s="87" t="s">
        <v>58</v>
      </c>
      <c r="T34" s="553">
        <f>MIN(INT(Q34*$F$41),ReadMe!$M$94)</f>
        <v>139586</v>
      </c>
    </row>
    <row r="35" spans="2:20" ht="13.5" customHeight="1" thickBot="1">
      <c r="B35" s="1047" t="s">
        <v>683</v>
      </c>
      <c r="C35" s="1048"/>
      <c r="D35" s="1048"/>
      <c r="E35" s="535" t="s">
        <v>56</v>
      </c>
      <c r="F35" s="19" t="s">
        <v>58</v>
      </c>
      <c r="G35" s="536" t="s">
        <v>750</v>
      </c>
      <c r="I35" s="1041" t="s">
        <v>218</v>
      </c>
      <c r="J35" s="1042"/>
      <c r="K35" s="1043"/>
      <c r="O35" s="1301" t="s">
        <v>127</v>
      </c>
      <c r="P35" s="1302"/>
      <c r="Q35" s="1302"/>
      <c r="R35" s="1300">
        <f>INT(Q33*(1-$G$41)+T33*$G$41)</f>
        <v>99391</v>
      </c>
      <c r="S35" s="1295"/>
      <c r="T35" s="1296"/>
    </row>
    <row r="36" spans="2:11" ht="14.25" thickBot="1">
      <c r="B36" s="1133" t="s">
        <v>1122</v>
      </c>
      <c r="C36" s="1134"/>
      <c r="D36" s="1135"/>
      <c r="E36" s="36">
        <f>(120+ROUNDUP(D23/2,0))/100</f>
        <v>1.35</v>
      </c>
      <c r="F36" s="539">
        <v>1.5</v>
      </c>
      <c r="G36" s="260">
        <v>0.45</v>
      </c>
      <c r="I36" s="1041" t="s">
        <v>220</v>
      </c>
      <c r="J36" s="1053"/>
      <c r="K36" s="1054"/>
    </row>
    <row r="37" spans="2:20" ht="14.25" thickBot="1">
      <c r="B37" s="1051" t="s">
        <v>690</v>
      </c>
      <c r="C37" s="1052"/>
      <c r="D37" s="548">
        <v>30</v>
      </c>
      <c r="E37" s="538"/>
      <c r="F37" s="537">
        <f>D37/100</f>
        <v>0.3</v>
      </c>
      <c r="G37" s="543">
        <f>IF(D37=0,0,(5+ROUNDUP(D37/2,0))/100)</f>
        <v>0.2</v>
      </c>
      <c r="I37" s="871" t="s">
        <v>217</v>
      </c>
      <c r="J37" s="224"/>
      <c r="K37" s="247">
        <v>0</v>
      </c>
      <c r="O37" s="977" t="s">
        <v>465</v>
      </c>
      <c r="P37" s="978"/>
      <c r="Q37" s="978"/>
      <c r="R37" s="979"/>
      <c r="S37" s="301" t="s">
        <v>51</v>
      </c>
      <c r="T37" s="302">
        <v>3.1</v>
      </c>
    </row>
    <row r="38" spans="2:20" ht="14.25" thickBot="1">
      <c r="B38" s="1051" t="s">
        <v>691</v>
      </c>
      <c r="C38" s="1052"/>
      <c r="D38" s="548">
        <v>0</v>
      </c>
      <c r="E38" s="538">
        <f>D38/100</f>
        <v>0</v>
      </c>
      <c r="F38" s="537"/>
      <c r="G38" s="543">
        <f>IF(D38=0,0,(5+ROUNDUP(D38/2,0))/100)</f>
        <v>0</v>
      </c>
      <c r="O38" s="988" t="s">
        <v>107</v>
      </c>
      <c r="P38" s="77" t="s">
        <v>56</v>
      </c>
      <c r="Q38" s="554">
        <f>MIN(INT(($R$4*T37)*(1+$B$33+$E$33+$B$51)),ReadMe!$M$94)</f>
        <v>25606</v>
      </c>
      <c r="R38" s="1292" t="s">
        <v>683</v>
      </c>
      <c r="S38" s="88" t="s">
        <v>56</v>
      </c>
      <c r="T38" s="551">
        <f>MIN(INT(Q38*$E$41),ReadMe!$M$94)</f>
        <v>34568</v>
      </c>
    </row>
    <row r="39" spans="1:20" ht="14.25" thickBot="1">
      <c r="A39" s="421" t="b">
        <v>0</v>
      </c>
      <c r="B39" s="1051" t="s">
        <v>694</v>
      </c>
      <c r="C39" s="1052"/>
      <c r="D39" s="544"/>
      <c r="E39" s="538"/>
      <c r="F39" s="537">
        <f>IF(H39="true",0.15,0)</f>
        <v>0</v>
      </c>
      <c r="G39" s="543">
        <f>IF(H39="true",0.1,0)</f>
        <v>0</v>
      </c>
      <c r="H39" s="421" t="str">
        <f>IF(A39=TRUE,"TRUE",IF(D39=1,"TRUE","FLASE"))</f>
        <v>FLASE</v>
      </c>
      <c r="I39" s="1058" t="s">
        <v>1163</v>
      </c>
      <c r="J39" s="1059"/>
      <c r="K39" s="896"/>
      <c r="L39" s="421" t="b">
        <v>0</v>
      </c>
      <c r="M39" s="514" t="str">
        <f>IF(L39=TRUE,"TRUE",IF(K39=1,"TRUE","FLASE"))</f>
        <v>FLASE</v>
      </c>
      <c r="O39" s="1051"/>
      <c r="P39" s="44" t="s">
        <v>57</v>
      </c>
      <c r="Q39" s="555">
        <f>INT((Q38+Q40)/2)</f>
        <v>27865</v>
      </c>
      <c r="R39" s="1293"/>
      <c r="S39" s="80" t="s">
        <v>57</v>
      </c>
      <c r="T39" s="552">
        <f>INT((T38+T40)/2)</f>
        <v>44396</v>
      </c>
    </row>
    <row r="40" spans="2:20" ht="14.25" thickBot="1">
      <c r="B40" s="1055" t="s">
        <v>1121</v>
      </c>
      <c r="C40" s="1056"/>
      <c r="D40" s="1057"/>
      <c r="E40" s="545">
        <v>0</v>
      </c>
      <c r="F40" s="546">
        <v>0</v>
      </c>
      <c r="G40" s="547">
        <v>0</v>
      </c>
      <c r="I40" s="637" t="s">
        <v>787</v>
      </c>
      <c r="J40" s="893"/>
      <c r="K40" s="894">
        <v>0</v>
      </c>
      <c r="O40" s="989"/>
      <c r="P40" s="15" t="s">
        <v>58</v>
      </c>
      <c r="Q40" s="556">
        <f>MIN(INT(($T$4*T37)*(1+$B$33+$E$33+$B$51)),ReadMe!$M$94)</f>
        <v>30125</v>
      </c>
      <c r="R40" s="81" t="s">
        <v>112</v>
      </c>
      <c r="S40" s="87" t="s">
        <v>58</v>
      </c>
      <c r="T40" s="553">
        <f>MIN(INT(Q40*$F$41),ReadMe!$M$94)</f>
        <v>54225</v>
      </c>
    </row>
    <row r="41" spans="2:20" ht="14.25" thickBot="1">
      <c r="B41" s="1044" t="s">
        <v>1123</v>
      </c>
      <c r="C41" s="1045"/>
      <c r="D41" s="1046"/>
      <c r="E41" s="540">
        <f>E36+MAX(E38,E39)+E40</f>
        <v>1.35</v>
      </c>
      <c r="F41" s="541">
        <f>F36+MAX(F37,F39)+F40</f>
        <v>1.8</v>
      </c>
      <c r="G41" s="542">
        <f>G36+MAX(G37,G38,G39)+G40</f>
        <v>0.65</v>
      </c>
      <c r="I41" s="1060" t="s">
        <v>530</v>
      </c>
      <c r="J41" s="1061"/>
      <c r="K41" s="895">
        <f>IF(M39="true",IF(K40&gt;0,10+ROUNDUP(K40/3,0),11)/100,0)</f>
        <v>0</v>
      </c>
      <c r="L41" s="342"/>
      <c r="M41" s="342"/>
      <c r="O41" s="1301" t="s">
        <v>127</v>
      </c>
      <c r="P41" s="1302"/>
      <c r="Q41" s="1302"/>
      <c r="R41" s="1300">
        <f>INT(Q39*(1-$G$41)+T39*$G$41)</f>
        <v>38610</v>
      </c>
      <c r="S41" s="1295"/>
      <c r="T41" s="1296"/>
    </row>
    <row r="42" spans="2:7" ht="14.25" thickBot="1">
      <c r="B42" s="1136" t="s">
        <v>135</v>
      </c>
      <c r="C42" s="1137"/>
      <c r="D42" s="1138"/>
      <c r="E42" s="1011">
        <f>(($E$41+$F$41)/2-1)*$G$41+1</f>
        <v>1.3737500000000002</v>
      </c>
      <c r="F42" s="1012"/>
      <c r="G42" s="1005"/>
    </row>
    <row r="43" spans="9:20" ht="14.25" thickBot="1">
      <c r="I43" s="1003" t="s">
        <v>169</v>
      </c>
      <c r="J43" s="1004"/>
      <c r="K43" s="996"/>
      <c r="O43" s="977" t="s">
        <v>631</v>
      </c>
      <c r="P43" s="978"/>
      <c r="Q43" s="978"/>
      <c r="R43" s="978"/>
      <c r="S43" s="301" t="s">
        <v>548</v>
      </c>
      <c r="T43" s="84">
        <f>60-2*INT(P44/2)</f>
        <v>30</v>
      </c>
    </row>
    <row r="44" spans="2:20" ht="14.25" thickBot="1">
      <c r="B44" s="1049" t="s">
        <v>416</v>
      </c>
      <c r="C44" s="1050"/>
      <c r="D44" s="566">
        <v>125</v>
      </c>
      <c r="E44" s="1147" t="s">
        <v>417</v>
      </c>
      <c r="F44" s="1148"/>
      <c r="G44" s="26">
        <f>IF(D2&gt;D44,0,$D$44-$D$2)</f>
        <v>0</v>
      </c>
      <c r="I44" s="1083" t="s">
        <v>652</v>
      </c>
      <c r="J44" s="1084"/>
      <c r="K44" s="493"/>
      <c r="L44" s="514" t="b">
        <v>0</v>
      </c>
      <c r="M44" s="514" t="str">
        <f>IF(L44=TRUE,"TRUE",IF(K44=1,"TRUE","FLASE"))</f>
        <v>FLASE</v>
      </c>
      <c r="O44" s="263" t="s">
        <v>227</v>
      </c>
      <c r="P44" s="221">
        <f>D8</f>
        <v>30</v>
      </c>
      <c r="Q44" s="240" t="s">
        <v>51</v>
      </c>
      <c r="R44" s="858">
        <f>(P44*2+40)/100</f>
        <v>1</v>
      </c>
      <c r="S44" s="52" t="s">
        <v>468</v>
      </c>
      <c r="T44" s="75">
        <f>(P44*15+400)/100</f>
        <v>8.5</v>
      </c>
    </row>
    <row r="45" spans="2:20" ht="13.5">
      <c r="B45" s="1006" t="s">
        <v>450</v>
      </c>
      <c r="C45" s="1007"/>
      <c r="D45" s="9">
        <v>12</v>
      </c>
      <c r="E45" s="1006" t="s">
        <v>452</v>
      </c>
      <c r="F45" s="1007"/>
      <c r="G45" s="665">
        <f>IF(G44&gt;0,"-",D45)</f>
        <v>12</v>
      </c>
      <c r="I45" s="994" t="s">
        <v>653</v>
      </c>
      <c r="J45" s="995"/>
      <c r="K45" s="494"/>
      <c r="L45" s="514" t="b">
        <v>0</v>
      </c>
      <c r="M45" s="514" t="str">
        <f>IF(L45=TRUE,"TRUE",IF(K45=1,"TRUE","FLASE"))</f>
        <v>FLASE</v>
      </c>
      <c r="O45" s="988" t="s">
        <v>467</v>
      </c>
      <c r="P45" s="77" t="s">
        <v>56</v>
      </c>
      <c r="Q45" s="554">
        <f>MIN(INT(($R$4*R44)*(1+$B$33+$E$33+$B$51)),ReadMe!$M$94)</f>
        <v>8260</v>
      </c>
      <c r="R45" s="1292" t="s">
        <v>683</v>
      </c>
      <c r="S45" s="79" t="s">
        <v>56</v>
      </c>
      <c r="T45" s="682">
        <f>MIN(INT(Q45*$E$41),ReadMe!$M$94)</f>
        <v>11151</v>
      </c>
    </row>
    <row r="46" spans="2:20" ht="14.25" thickBot="1">
      <c r="B46" s="997" t="s">
        <v>415</v>
      </c>
      <c r="C46" s="998"/>
      <c r="D46" s="9">
        <v>0</v>
      </c>
      <c r="E46" s="1006" t="s">
        <v>451</v>
      </c>
      <c r="F46" s="1007"/>
      <c r="G46" s="543">
        <f>MAX((MIN(100+SQRT($K$28)-SQRT($D$45),100)-5*G44)/100,0)</f>
        <v>1</v>
      </c>
      <c r="I46" s="1002" t="s">
        <v>530</v>
      </c>
      <c r="J46" s="993"/>
      <c r="K46" s="225">
        <f>IF(M44="TRUE",1.04,IF(M45="TRUE",1.02,1))</f>
        <v>1</v>
      </c>
      <c r="O46" s="1051"/>
      <c r="P46" s="44" t="s">
        <v>57</v>
      </c>
      <c r="Q46" s="555">
        <f>INT((Q45+Q47)/2)</f>
        <v>8988</v>
      </c>
      <c r="R46" s="1293"/>
      <c r="S46" s="80" t="s">
        <v>57</v>
      </c>
      <c r="T46" s="552">
        <f>INT((T45+T47)/2)</f>
        <v>14320</v>
      </c>
    </row>
    <row r="47" spans="2:20" ht="14.25" thickBot="1">
      <c r="B47" s="1008" t="s">
        <v>642</v>
      </c>
      <c r="C47" s="1009"/>
      <c r="D47" s="567">
        <v>0.25</v>
      </c>
      <c r="E47" s="1145" t="s">
        <v>643</v>
      </c>
      <c r="F47" s="1146"/>
      <c r="G47" s="29">
        <f>1-(D47*(1-(D21+K50)))</f>
        <v>0.8</v>
      </c>
      <c r="O47" s="989"/>
      <c r="P47" s="15" t="s">
        <v>58</v>
      </c>
      <c r="Q47" s="556">
        <f>MIN(INT(($T$4*R44)*(1+$B$33+$E$33+$B$51)),ReadMe!$M$94)</f>
        <v>9717</v>
      </c>
      <c r="R47" s="81" t="s">
        <v>112</v>
      </c>
      <c r="S47" s="87" t="s">
        <v>58</v>
      </c>
      <c r="T47" s="553">
        <f>MIN(INT(Q47*$F$41),ReadMe!$M$94)</f>
        <v>17490</v>
      </c>
    </row>
    <row r="48" spans="4:20" ht="14.25" thickBot="1">
      <c r="D48" s="421">
        <f>$D$46*(1-($K$50+$B$31+$D$21))</f>
        <v>0</v>
      </c>
      <c r="I48" s="1075" t="s">
        <v>693</v>
      </c>
      <c r="J48" s="1076"/>
      <c r="K48" s="1077"/>
      <c r="O48" s="988" t="s">
        <v>468</v>
      </c>
      <c r="P48" s="77" t="s">
        <v>56</v>
      </c>
      <c r="Q48" s="554">
        <f>MIN(INT(($R$4*T44)*(1+$B$33+$E$33+$B$51)),ReadMe!$M$94)</f>
        <v>70211</v>
      </c>
      <c r="R48" s="1292" t="s">
        <v>683</v>
      </c>
      <c r="S48" s="88" t="s">
        <v>56</v>
      </c>
      <c r="T48" s="551">
        <f>MIN(INT(Q48*$E$41),ReadMe!$M$94)</f>
        <v>94784</v>
      </c>
    </row>
    <row r="49" spans="2:20" ht="13.5">
      <c r="B49" s="1078" t="s">
        <v>749</v>
      </c>
      <c r="C49" s="1079"/>
      <c r="D49" s="1080"/>
      <c r="I49" s="439" t="s">
        <v>689</v>
      </c>
      <c r="J49" s="572"/>
      <c r="K49" s="223">
        <v>0</v>
      </c>
      <c r="O49" s="1051"/>
      <c r="P49" s="44" t="s">
        <v>57</v>
      </c>
      <c r="Q49" s="555">
        <f>INT((Q48+Q50)/2)</f>
        <v>76406</v>
      </c>
      <c r="R49" s="1293"/>
      <c r="S49" s="80" t="s">
        <v>57</v>
      </c>
      <c r="T49" s="552">
        <f>INT((T48+T50)/2)</f>
        <v>121732</v>
      </c>
    </row>
    <row r="50" spans="2:20" ht="14.25" thickBot="1">
      <c r="B50" s="999" t="s">
        <v>551</v>
      </c>
      <c r="C50" s="1000"/>
      <c r="D50" s="1001"/>
      <c r="I50" s="440" t="s">
        <v>1190</v>
      </c>
      <c r="J50" s="573"/>
      <c r="K50" s="441">
        <f>IF(K49&gt;0,(K49+10)/100,0)</f>
        <v>0</v>
      </c>
      <c r="O50" s="989"/>
      <c r="P50" s="15" t="s">
        <v>58</v>
      </c>
      <c r="Q50" s="556">
        <f>MIN(INT(($T$4*T44)*(1+$B$33+$E$33+$B$51)),ReadMe!$M$94)</f>
        <v>82601</v>
      </c>
      <c r="R50" s="1626"/>
      <c r="S50" s="87" t="s">
        <v>58</v>
      </c>
      <c r="T50" s="553">
        <f>MIN(INT(Q50*$F$41),ReadMe!$M$94)</f>
        <v>148681</v>
      </c>
    </row>
    <row r="51" spans="2:20" ht="14.25" thickBot="1">
      <c r="B51" s="1142">
        <v>0</v>
      </c>
      <c r="C51" s="1143"/>
      <c r="D51" s="1144"/>
      <c r="O51" s="1023" t="s">
        <v>50</v>
      </c>
      <c r="P51" s="1024"/>
      <c r="Q51" s="523" t="s">
        <v>56</v>
      </c>
      <c r="R51" s="1303">
        <f>Q45*10+Q48</f>
        <v>152811</v>
      </c>
      <c r="S51" s="1304"/>
      <c r="T51" s="1305"/>
    </row>
    <row r="52" spans="15:20" ht="14.25" thickBot="1">
      <c r="O52" s="1334"/>
      <c r="P52" s="1335"/>
      <c r="Q52" s="524" t="s">
        <v>140</v>
      </c>
      <c r="R52" s="1375">
        <f>INT(Q46*(1-$G$41)+T46*$G$41)*10+INT(Q49*(1-$G$41)+T49*$G$41)</f>
        <v>230397</v>
      </c>
      <c r="S52" s="1376"/>
      <c r="T52" s="1377"/>
    </row>
    <row r="53" spans="2:20" ht="14.25" thickBot="1">
      <c r="B53" s="1023" t="s">
        <v>64</v>
      </c>
      <c r="C53" s="1024"/>
      <c r="D53" s="1024"/>
      <c r="E53" s="1024"/>
      <c r="F53" s="1024"/>
      <c r="G53" s="1024"/>
      <c r="H53" s="1024"/>
      <c r="I53" s="1024"/>
      <c r="J53" s="1024"/>
      <c r="K53" s="1024"/>
      <c r="L53" s="1025"/>
      <c r="O53" s="1276"/>
      <c r="P53" s="1336"/>
      <c r="Q53" s="557" t="s">
        <v>58</v>
      </c>
      <c r="R53" s="1324">
        <f>T47*10+T50</f>
        <v>323581</v>
      </c>
      <c r="S53" s="1325"/>
      <c r="T53" s="1326"/>
    </row>
    <row r="54" spans="2:12" ht="14.25" thickBot="1">
      <c r="B54" s="1018" t="s">
        <v>878</v>
      </c>
      <c r="C54" s="1019"/>
      <c r="D54" s="1020"/>
      <c r="E54" s="1020"/>
      <c r="F54" s="1020"/>
      <c r="G54" s="1020"/>
      <c r="H54" s="1020"/>
      <c r="I54" s="1020"/>
      <c r="J54" s="1020"/>
      <c r="K54" s="1020"/>
      <c r="L54" s="1016"/>
    </row>
    <row r="55" spans="2:19" ht="14.25" thickBot="1">
      <c r="B55" s="1017" t="s">
        <v>879</v>
      </c>
      <c r="C55" s="1015"/>
      <c r="D55" s="1013"/>
      <c r="E55" s="1013"/>
      <c r="F55" s="1013"/>
      <c r="G55" s="1013"/>
      <c r="H55" s="1013"/>
      <c r="I55" s="1013"/>
      <c r="J55" s="1013"/>
      <c r="K55" s="1013"/>
      <c r="L55" s="1010"/>
      <c r="O55" s="977" t="s">
        <v>876</v>
      </c>
      <c r="P55" s="979"/>
      <c r="R55" s="977" t="s">
        <v>877</v>
      </c>
      <c r="S55" s="979"/>
    </row>
    <row r="56" spans="2:19" ht="13.5">
      <c r="B56" s="1017" t="s">
        <v>354</v>
      </c>
      <c r="C56" s="1015"/>
      <c r="D56" s="1013"/>
      <c r="E56" s="1013"/>
      <c r="F56" s="1013"/>
      <c r="G56" s="1013"/>
      <c r="H56" s="1013"/>
      <c r="I56" s="1013"/>
      <c r="J56" s="1013"/>
      <c r="K56" s="1013"/>
      <c r="L56" s="1010"/>
      <c r="O56" s="249" t="s">
        <v>51</v>
      </c>
      <c r="P56" s="948">
        <v>2</v>
      </c>
      <c r="R56" s="249" t="s">
        <v>51</v>
      </c>
      <c r="S56" s="948">
        <v>2.5</v>
      </c>
    </row>
    <row r="57" spans="2:20" ht="14.25" thickBot="1">
      <c r="B57" s="1256" t="s">
        <v>338</v>
      </c>
      <c r="C57" s="1257"/>
      <c r="D57" s="1257"/>
      <c r="E57" s="1257"/>
      <c r="F57" s="1257"/>
      <c r="G57" s="1257"/>
      <c r="H57" s="1257"/>
      <c r="I57" s="1257"/>
      <c r="J57" s="1257"/>
      <c r="K57" s="1257"/>
      <c r="L57" s="1258"/>
      <c r="O57" s="949" t="s">
        <v>545</v>
      </c>
      <c r="P57" s="950">
        <v>50</v>
      </c>
      <c r="Q57">
        <f>60/P57</f>
        <v>1.2</v>
      </c>
      <c r="R57" s="949" t="s">
        <v>545</v>
      </c>
      <c r="S57" s="950">
        <v>180</v>
      </c>
      <c r="T57">
        <f>60/S57</f>
        <v>0.3333333333333333</v>
      </c>
    </row>
    <row r="58" spans="2:19" ht="13.5">
      <c r="B58" s="1017" t="s">
        <v>812</v>
      </c>
      <c r="C58" s="1015"/>
      <c r="D58" s="1013"/>
      <c r="E58" s="1013"/>
      <c r="F58" s="1013"/>
      <c r="G58" s="1013"/>
      <c r="H58" s="1013"/>
      <c r="I58" s="1013"/>
      <c r="J58" s="1013"/>
      <c r="K58" s="1013"/>
      <c r="L58" s="1010"/>
      <c r="O58" s="909" t="s">
        <v>56</v>
      </c>
      <c r="P58" s="951">
        <f>MIN(INT(($R$4*P56*1.4)*(1+$B$33+$E$33+$B$51)),ReadMe!$M$94)</f>
        <v>23128</v>
      </c>
      <c r="R58" s="909" t="s">
        <v>56</v>
      </c>
      <c r="S58" s="951">
        <f>MIN(INT(($R$4*S56*1.4)*(1+$B$33+$E$33+$B$51)),ReadMe!$M$94)</f>
        <v>28910</v>
      </c>
    </row>
    <row r="59" spans="15:19" ht="13.5">
      <c r="O59" s="7" t="s">
        <v>57</v>
      </c>
      <c r="P59" s="561">
        <f>INT((P58+P60)/2)</f>
        <v>25168</v>
      </c>
      <c r="R59" s="7" t="s">
        <v>57</v>
      </c>
      <c r="S59" s="561">
        <f>INT((S58+S60)/2)</f>
        <v>31461</v>
      </c>
    </row>
    <row r="60" spans="12:19" ht="14.25" thickBot="1">
      <c r="L60" s="342"/>
      <c r="O60" s="14" t="s">
        <v>58</v>
      </c>
      <c r="P60" s="562">
        <f>MIN(INT(($T$4*P56*1.4)*(1+$B$33+$E$33+$B$51)),ReadMe!$M$94)</f>
        <v>27209</v>
      </c>
      <c r="R60" s="14" t="s">
        <v>58</v>
      </c>
      <c r="S60" s="562">
        <f>MIN(INT(($T$4*S56*1.4)*(1+$B$33+$E$33+$B$51)),ReadMe!$M$94)</f>
        <v>34012</v>
      </c>
    </row>
    <row r="61" spans="13:19" ht="13.5">
      <c r="M61" s="168"/>
      <c r="O61" s="1606" t="s">
        <v>769</v>
      </c>
      <c r="P61" s="1607"/>
      <c r="R61" s="1606" t="s">
        <v>882</v>
      </c>
      <c r="S61" s="1607"/>
    </row>
    <row r="62" spans="15:19" ht="14.25" thickBot="1">
      <c r="O62" s="245" t="s">
        <v>770</v>
      </c>
      <c r="P62" s="334">
        <f>INT(P59*(P57/3))</f>
        <v>419466</v>
      </c>
      <c r="R62" s="245" t="s">
        <v>770</v>
      </c>
      <c r="S62" s="334">
        <f>INT(S59*(60/3))</f>
        <v>629220</v>
      </c>
    </row>
    <row r="63" ht="14.25" thickBot="1"/>
    <row r="64" spans="15:20" ht="14.25" thickBot="1">
      <c r="O64" s="1316" t="s">
        <v>695</v>
      </c>
      <c r="P64" s="1213"/>
      <c r="Q64" s="1213"/>
      <c r="R64" s="1213"/>
      <c r="S64" s="1213"/>
      <c r="T64" s="1317"/>
    </row>
    <row r="65" spans="15:20" ht="14.25" thickBot="1">
      <c r="O65" s="1023" t="s">
        <v>113</v>
      </c>
      <c r="P65" s="1114"/>
      <c r="Q65" s="487">
        <v>0.65</v>
      </c>
      <c r="R65" s="1068" t="s">
        <v>696</v>
      </c>
      <c r="S65" s="1036"/>
      <c r="T65" s="332">
        <v>20</v>
      </c>
    </row>
    <row r="66" spans="15:20" ht="14.25" thickBot="1">
      <c r="O66" s="1205" t="s">
        <v>1051</v>
      </c>
      <c r="P66" s="1206"/>
      <c r="Q66" s="487">
        <v>1</v>
      </c>
      <c r="R66" s="1320" t="s">
        <v>997</v>
      </c>
      <c r="S66" s="1321"/>
      <c r="T66" s="375">
        <v>1</v>
      </c>
    </row>
    <row r="67" spans="15:20" ht="13.5">
      <c r="O67" s="988" t="s">
        <v>107</v>
      </c>
      <c r="P67" s="77" t="s">
        <v>56</v>
      </c>
      <c r="Q67" s="554">
        <f>INT(($R$4*Q66*1.4)*(1+$B$33+$E$33+$B$51))</f>
        <v>11564</v>
      </c>
      <c r="R67" s="1292" t="s">
        <v>683</v>
      </c>
      <c r="S67" s="79" t="s">
        <v>56</v>
      </c>
      <c r="T67" s="551">
        <f>INT(Q67*$E$41)</f>
        <v>15611</v>
      </c>
    </row>
    <row r="68" spans="15:20" ht="13.5">
      <c r="O68" s="1051"/>
      <c r="P68" s="44" t="s">
        <v>57</v>
      </c>
      <c r="Q68" s="555">
        <f>INT((Q67+Q69)/2)</f>
        <v>12584</v>
      </c>
      <c r="R68" s="1293"/>
      <c r="S68" s="80" t="s">
        <v>57</v>
      </c>
      <c r="T68" s="552">
        <f>INT((T67+T69)/2)</f>
        <v>20049</v>
      </c>
    </row>
    <row r="69" spans="15:20" ht="14.25" thickBot="1">
      <c r="O69" s="989"/>
      <c r="P69" s="15" t="s">
        <v>58</v>
      </c>
      <c r="Q69" s="556">
        <f>INT(($T$4*Q66*1.4)*(1+$B$33+$E$33+$B$51))</f>
        <v>13604</v>
      </c>
      <c r="R69" s="81" t="s">
        <v>112</v>
      </c>
      <c r="S69" s="87" t="s">
        <v>58</v>
      </c>
      <c r="T69" s="553">
        <f>INT(Q69*$F$41)</f>
        <v>24487</v>
      </c>
    </row>
    <row r="70" spans="15:20" ht="14.25" thickBot="1">
      <c r="O70" s="1065" t="s">
        <v>127</v>
      </c>
      <c r="P70" s="1066"/>
      <c r="Q70" s="1067"/>
      <c r="R70" s="1300">
        <f>INT(Q68*(1-$G$41)+T68*$G$41)</f>
        <v>17436</v>
      </c>
      <c r="S70" s="1295"/>
      <c r="T70" s="1296"/>
    </row>
    <row r="71" spans="15:20" ht="14.25" thickBot="1">
      <c r="O71" s="1065" t="s">
        <v>407</v>
      </c>
      <c r="P71" s="1066"/>
      <c r="Q71" s="1067"/>
      <c r="R71" s="1294">
        <f>R70*T66</f>
        <v>17436</v>
      </c>
      <c r="S71" s="1295"/>
      <c r="T71" s="1296"/>
    </row>
  </sheetData>
  <sheetProtection/>
  <protectedRanges>
    <protectedRange sqref="D44:D45 D47" name="範囲1"/>
  </protectedRanges>
  <mergeCells count="125">
    <mergeCell ref="O12:Q12"/>
    <mergeCell ref="O14:R14"/>
    <mergeCell ref="O25:R25"/>
    <mergeCell ref="O26:O28"/>
    <mergeCell ref="R55:S55"/>
    <mergeCell ref="R61:S61"/>
    <mergeCell ref="V11:W11"/>
    <mergeCell ref="R12:T12"/>
    <mergeCell ref="Z12:AA12"/>
    <mergeCell ref="O55:P55"/>
    <mergeCell ref="X11:Y11"/>
    <mergeCell ref="X12:Y12"/>
    <mergeCell ref="Z11:AA11"/>
    <mergeCell ref="V12:W12"/>
    <mergeCell ref="R26:R27"/>
    <mergeCell ref="O29:Q29"/>
    <mergeCell ref="R29:T29"/>
    <mergeCell ref="R41:T41"/>
    <mergeCell ref="I39:J39"/>
    <mergeCell ref="O38:O40"/>
    <mergeCell ref="R38:R39"/>
    <mergeCell ref="O31:R31"/>
    <mergeCell ref="O37:R37"/>
    <mergeCell ref="O32:O34"/>
    <mergeCell ref="R32:R33"/>
    <mergeCell ref="O35:Q35"/>
    <mergeCell ref="R35:T35"/>
    <mergeCell ref="B2:C2"/>
    <mergeCell ref="B22:C22"/>
    <mergeCell ref="B24:C24"/>
    <mergeCell ref="B25:C25"/>
    <mergeCell ref="B21:C21"/>
    <mergeCell ref="B19:C19"/>
    <mergeCell ref="B20:C20"/>
    <mergeCell ref="B26:C26"/>
    <mergeCell ref="B29:K29"/>
    <mergeCell ref="B30:D30"/>
    <mergeCell ref="E30:F30"/>
    <mergeCell ref="B31:D31"/>
    <mergeCell ref="E31:F31"/>
    <mergeCell ref="B32:D32"/>
    <mergeCell ref="E32:F32"/>
    <mergeCell ref="B33:D33"/>
    <mergeCell ref="E33:F33"/>
    <mergeCell ref="I35:K35"/>
    <mergeCell ref="I36:K36"/>
    <mergeCell ref="B35:D35"/>
    <mergeCell ref="B36:D36"/>
    <mergeCell ref="O6:T6"/>
    <mergeCell ref="O11:Q11"/>
    <mergeCell ref="V2:Y2"/>
    <mergeCell ref="V7:W7"/>
    <mergeCell ref="X7:Y7"/>
    <mergeCell ref="O8:O10"/>
    <mergeCell ref="R11:T11"/>
    <mergeCell ref="B41:D41"/>
    <mergeCell ref="I41:J41"/>
    <mergeCell ref="O41:Q41"/>
    <mergeCell ref="O48:O50"/>
    <mergeCell ref="O43:R43"/>
    <mergeCell ref="I43:K43"/>
    <mergeCell ref="B42:D42"/>
    <mergeCell ref="E42:G42"/>
    <mergeCell ref="R45:R46"/>
    <mergeCell ref="I44:J44"/>
    <mergeCell ref="B37:C37"/>
    <mergeCell ref="B38:C38"/>
    <mergeCell ref="B39:C39"/>
    <mergeCell ref="B40:D40"/>
    <mergeCell ref="I46:J46"/>
    <mergeCell ref="B55:L55"/>
    <mergeCell ref="I48:K48"/>
    <mergeCell ref="O66:P66"/>
    <mergeCell ref="B53:L53"/>
    <mergeCell ref="B54:L54"/>
    <mergeCell ref="O65:P65"/>
    <mergeCell ref="B56:L56"/>
    <mergeCell ref="B58:L58"/>
    <mergeCell ref="O61:P61"/>
    <mergeCell ref="R67:R68"/>
    <mergeCell ref="R71:T71"/>
    <mergeCell ref="R48:R50"/>
    <mergeCell ref="O64:T64"/>
    <mergeCell ref="O51:P53"/>
    <mergeCell ref="R51:T51"/>
    <mergeCell ref="R52:T52"/>
    <mergeCell ref="R53:T53"/>
    <mergeCell ref="R70:T70"/>
    <mergeCell ref="O70:Q70"/>
    <mergeCell ref="O71:Q71"/>
    <mergeCell ref="B44:C44"/>
    <mergeCell ref="E44:F44"/>
    <mergeCell ref="B45:C45"/>
    <mergeCell ref="E45:F45"/>
    <mergeCell ref="B46:C46"/>
    <mergeCell ref="E46:F46"/>
    <mergeCell ref="B47:C47"/>
    <mergeCell ref="B57:L57"/>
    <mergeCell ref="I45:J45"/>
    <mergeCell ref="R66:S66"/>
    <mergeCell ref="O67:O69"/>
    <mergeCell ref="R65:S65"/>
    <mergeCell ref="B4:D4"/>
    <mergeCell ref="E47:F47"/>
    <mergeCell ref="B49:D49"/>
    <mergeCell ref="B50:D50"/>
    <mergeCell ref="B51:D51"/>
    <mergeCell ref="O22:P22"/>
    <mergeCell ref="O45:O47"/>
    <mergeCell ref="F1:P1"/>
    <mergeCell ref="N2:P2"/>
    <mergeCell ref="R2:T2"/>
    <mergeCell ref="R21:T21"/>
    <mergeCell ref="R15:R16"/>
    <mergeCell ref="R18:T18"/>
    <mergeCell ref="O15:O17"/>
    <mergeCell ref="O18:Q18"/>
    <mergeCell ref="R8:R10"/>
    <mergeCell ref="O19:P21"/>
    <mergeCell ref="D19:D20"/>
    <mergeCell ref="R20:T20"/>
    <mergeCell ref="R19:T19"/>
    <mergeCell ref="O23:Q23"/>
    <mergeCell ref="R22:S22"/>
    <mergeCell ref="R23:T23"/>
  </mergeCells>
  <printOptions/>
  <pageMargins left="0.75" right="0.75" top="1" bottom="1" header="0.512" footer="0.512"/>
  <pageSetup horizontalDpi="300" verticalDpi="300" orientation="portrait" paperSize="9" r:id="rId2"/>
  <ignoredErrors>
    <ignoredError sqref="G27:J27" formulaRange="1"/>
  </ignoredErrors>
  <legacyDrawing r:id="rId1"/>
</worksheet>
</file>

<file path=xl/worksheets/sheet18.xml><?xml version="1.0" encoding="utf-8"?>
<worksheet xmlns="http://schemas.openxmlformats.org/spreadsheetml/2006/main" xmlns:r="http://schemas.openxmlformats.org/officeDocument/2006/relationships">
  <dimension ref="A1:Z299"/>
  <sheetViews>
    <sheetView tabSelected="1" workbookViewId="0" topLeftCell="A1">
      <selection activeCell="A1" sqref="A1"/>
    </sheetView>
  </sheetViews>
  <sheetFormatPr defaultColWidth="9.00390625" defaultRowHeight="13.5"/>
  <cols>
    <col min="1" max="1" width="2.625" style="0" customWidth="1"/>
    <col min="2" max="11" width="9.125" style="0" customWidth="1"/>
    <col min="12" max="12" width="4.125" style="0" customWidth="1"/>
    <col min="13" max="23" width="9.00390625" style="352" customWidth="1"/>
    <col min="24" max="26" width="7.625" style="0" customWidth="1"/>
  </cols>
  <sheetData>
    <row r="1" spans="13:23" ht="14.25" thickBot="1">
      <c r="M1" s="342"/>
      <c r="N1" s="342"/>
      <c r="O1" s="342"/>
      <c r="P1" s="342"/>
      <c r="Q1" s="342"/>
      <c r="R1" s="342"/>
      <c r="S1" s="342"/>
      <c r="T1" s="342"/>
      <c r="U1" s="342"/>
      <c r="V1" s="342"/>
      <c r="W1" s="342"/>
    </row>
    <row r="2" spans="1:26" ht="30" customHeight="1" thickBot="1">
      <c r="A2" s="58"/>
      <c r="B2" s="1666" t="s">
        <v>249</v>
      </c>
      <c r="C2" s="1667"/>
      <c r="D2" s="1667"/>
      <c r="E2" s="1667"/>
      <c r="F2" s="1667"/>
      <c r="G2" s="1667"/>
      <c r="H2" s="1667"/>
      <c r="I2" s="1667"/>
      <c r="J2" s="1667"/>
      <c r="K2" s="1668"/>
      <c r="L2" s="123"/>
      <c r="M2" s="1663" t="s">
        <v>902</v>
      </c>
      <c r="N2" s="1664"/>
      <c r="O2" s="1664"/>
      <c r="P2" s="1664"/>
      <c r="Q2" s="1664"/>
      <c r="R2" s="1664"/>
      <c r="S2" s="1664"/>
      <c r="T2" s="1664"/>
      <c r="U2" s="1664"/>
      <c r="V2" s="1664"/>
      <c r="W2" s="1665"/>
      <c r="X2" s="58"/>
      <c r="Y2" s="58"/>
      <c r="Z2" s="58"/>
    </row>
    <row r="3" spans="1:26" ht="17.25" customHeight="1">
      <c r="A3" s="58"/>
      <c r="B3" s="1669" t="s">
        <v>276</v>
      </c>
      <c r="C3" s="1670"/>
      <c r="D3" s="1670"/>
      <c r="E3" s="1670"/>
      <c r="F3" s="1670"/>
      <c r="G3" s="1670"/>
      <c r="H3" s="1670"/>
      <c r="I3" s="1670"/>
      <c r="J3" s="1670"/>
      <c r="K3" s="1671"/>
      <c r="L3" s="58"/>
      <c r="M3" s="368" t="s">
        <v>969</v>
      </c>
      <c r="N3" s="369"/>
      <c r="O3" s="369"/>
      <c r="P3" s="369"/>
      <c r="Q3" s="369"/>
      <c r="R3" s="369"/>
      <c r="S3" s="369"/>
      <c r="T3" s="369"/>
      <c r="U3" s="369"/>
      <c r="V3" s="369"/>
      <c r="W3" s="370"/>
      <c r="X3" s="58"/>
      <c r="Y3" s="58"/>
      <c r="Z3" s="58"/>
    </row>
    <row r="4" spans="1:26" ht="13.5" customHeight="1">
      <c r="A4" s="58"/>
      <c r="B4" s="277"/>
      <c r="C4" s="278"/>
      <c r="D4" s="278"/>
      <c r="E4" s="278"/>
      <c r="F4" s="278"/>
      <c r="G4" s="278"/>
      <c r="H4" s="278"/>
      <c r="I4" s="278"/>
      <c r="J4" s="278"/>
      <c r="K4" s="279"/>
      <c r="L4" s="58"/>
      <c r="M4" s="340" t="s">
        <v>835</v>
      </c>
      <c r="N4" s="347"/>
      <c r="O4" s="347">
        <v>6</v>
      </c>
      <c r="P4" s="347"/>
      <c r="Q4" s="347"/>
      <c r="R4" s="347"/>
      <c r="S4" s="347"/>
      <c r="T4" s="347"/>
      <c r="U4" s="347"/>
      <c r="V4" s="347"/>
      <c r="W4" s="338"/>
      <c r="X4" s="58"/>
      <c r="Y4" s="58"/>
      <c r="Z4" s="58"/>
    </row>
    <row r="5" spans="1:26" ht="13.5" customHeight="1">
      <c r="A5" s="58"/>
      <c r="B5" s="284" t="s">
        <v>579</v>
      </c>
      <c r="C5" s="278"/>
      <c r="D5" s="278"/>
      <c r="E5" s="278"/>
      <c r="F5" s="278"/>
      <c r="G5" s="278"/>
      <c r="H5" s="278"/>
      <c r="I5" s="278"/>
      <c r="J5" s="278"/>
      <c r="K5" s="279"/>
      <c r="L5" s="58"/>
      <c r="M5" s="343" t="s">
        <v>831</v>
      </c>
      <c r="N5" s="347"/>
      <c r="O5" s="349"/>
      <c r="P5" s="347" t="s">
        <v>838</v>
      </c>
      <c r="Q5" s="347"/>
      <c r="R5" s="349"/>
      <c r="S5" s="347" t="s">
        <v>832</v>
      </c>
      <c r="T5" s="347"/>
      <c r="U5" s="347"/>
      <c r="V5" s="347"/>
      <c r="W5" s="338"/>
      <c r="X5" s="58"/>
      <c r="Y5" s="58"/>
      <c r="Z5" s="58"/>
    </row>
    <row r="6" spans="1:26" ht="13.5" customHeight="1">
      <c r="A6" s="58"/>
      <c r="B6" s="284" t="s">
        <v>580</v>
      </c>
      <c r="C6" s="278"/>
      <c r="D6" s="278"/>
      <c r="E6" s="278"/>
      <c r="F6" s="278"/>
      <c r="G6" s="278"/>
      <c r="H6" s="278"/>
      <c r="I6" s="278"/>
      <c r="J6" s="278"/>
      <c r="K6" s="279"/>
      <c r="L6" s="58"/>
      <c r="M6" s="343" t="s">
        <v>839</v>
      </c>
      <c r="N6" s="345"/>
      <c r="O6" s="345"/>
      <c r="P6" s="347"/>
      <c r="Q6" s="345"/>
      <c r="R6" s="345"/>
      <c r="S6" s="345"/>
      <c r="T6" s="345"/>
      <c r="U6" s="347"/>
      <c r="V6" s="347"/>
      <c r="W6" s="338"/>
      <c r="X6" s="58"/>
      <c r="Y6" s="58"/>
      <c r="Z6" s="58"/>
    </row>
    <row r="7" spans="1:26" ht="13.5" customHeight="1">
      <c r="A7" s="58"/>
      <c r="B7" s="1672" t="s">
        <v>250</v>
      </c>
      <c r="C7" s="1673"/>
      <c r="D7" s="1673"/>
      <c r="E7" s="1673"/>
      <c r="F7" s="1673"/>
      <c r="G7" s="1673"/>
      <c r="H7" s="1673"/>
      <c r="I7" s="1673"/>
      <c r="J7" s="1673"/>
      <c r="K7" s="1674"/>
      <c r="L7" s="58"/>
      <c r="M7" s="343" t="s">
        <v>956</v>
      </c>
      <c r="N7" s="345"/>
      <c r="O7" s="345"/>
      <c r="P7" s="345"/>
      <c r="Q7" s="345"/>
      <c r="R7" s="345"/>
      <c r="S7" s="345"/>
      <c r="T7" s="345"/>
      <c r="U7" s="345"/>
      <c r="V7" s="345"/>
      <c r="W7" s="346"/>
      <c r="X7" s="58"/>
      <c r="Y7" s="58"/>
      <c r="Z7" s="58"/>
    </row>
    <row r="8" spans="1:26" ht="13.5" customHeight="1">
      <c r="A8" s="58"/>
      <c r="B8" s="1672" t="s">
        <v>251</v>
      </c>
      <c r="C8" s="1673"/>
      <c r="D8" s="1673"/>
      <c r="E8" s="1673"/>
      <c r="F8" s="1673"/>
      <c r="G8" s="1673"/>
      <c r="H8" s="1673"/>
      <c r="I8" s="1673"/>
      <c r="J8" s="1673"/>
      <c r="K8" s="1674"/>
      <c r="L8" s="58"/>
      <c r="M8" s="343"/>
      <c r="N8" s="345"/>
      <c r="O8" s="345"/>
      <c r="P8" s="345"/>
      <c r="Q8" s="345"/>
      <c r="R8" s="345"/>
      <c r="S8" s="345"/>
      <c r="T8" s="345"/>
      <c r="U8" s="345"/>
      <c r="V8" s="345"/>
      <c r="W8" s="346"/>
      <c r="X8" s="58"/>
      <c r="Y8" s="58"/>
      <c r="Z8" s="58"/>
    </row>
    <row r="9" spans="1:26" ht="13.5" customHeight="1">
      <c r="A9" s="58"/>
      <c r="B9" s="1672" t="s">
        <v>600</v>
      </c>
      <c r="C9" s="1673"/>
      <c r="D9" s="1673"/>
      <c r="E9" s="1673"/>
      <c r="F9" s="1673"/>
      <c r="G9" s="1673"/>
      <c r="H9" s="1673"/>
      <c r="I9" s="1673"/>
      <c r="J9" s="1673"/>
      <c r="K9" s="1674"/>
      <c r="L9" s="58"/>
      <c r="M9" s="343"/>
      <c r="N9" s="345"/>
      <c r="O9" s="345"/>
      <c r="P9" s="345"/>
      <c r="Q9" s="345"/>
      <c r="R9" s="345"/>
      <c r="S9" s="345"/>
      <c r="T9" s="345"/>
      <c r="U9" s="345"/>
      <c r="V9" s="345"/>
      <c r="W9" s="346"/>
      <c r="X9" s="58"/>
      <c r="Y9" s="58"/>
      <c r="Z9" s="58"/>
    </row>
    <row r="10" spans="1:26" ht="13.5" customHeight="1">
      <c r="A10" s="58"/>
      <c r="B10" s="135" t="s">
        <v>601</v>
      </c>
      <c r="C10" s="275"/>
      <c r="D10" s="275"/>
      <c r="E10" s="275"/>
      <c r="F10" s="275"/>
      <c r="G10" s="275"/>
      <c r="H10" s="275"/>
      <c r="I10" s="275"/>
      <c r="J10" s="275"/>
      <c r="K10" s="276"/>
      <c r="L10" s="58"/>
      <c r="M10" s="134" t="s">
        <v>836</v>
      </c>
      <c r="N10" s="347"/>
      <c r="O10" s="347">
        <v>8</v>
      </c>
      <c r="P10" s="347"/>
      <c r="Q10" s="347"/>
      <c r="R10" s="347"/>
      <c r="S10" s="347"/>
      <c r="T10" s="347"/>
      <c r="U10" s="347"/>
      <c r="V10" s="347"/>
      <c r="W10" s="348"/>
      <c r="X10" s="58"/>
      <c r="Y10" s="58"/>
      <c r="Z10" s="58"/>
    </row>
    <row r="11" spans="1:26" ht="13.5" customHeight="1">
      <c r="A11" s="58"/>
      <c r="B11" s="1672" t="s">
        <v>666</v>
      </c>
      <c r="C11" s="1673"/>
      <c r="D11" s="1673"/>
      <c r="E11" s="1673"/>
      <c r="F11" s="1673"/>
      <c r="G11" s="1673"/>
      <c r="H11" s="1673"/>
      <c r="I11" s="1673"/>
      <c r="J11" s="1673"/>
      <c r="K11" s="1674"/>
      <c r="L11" s="58"/>
      <c r="M11" s="343" t="s">
        <v>831</v>
      </c>
      <c r="N11" s="347"/>
      <c r="O11" s="349"/>
      <c r="P11" s="345" t="s">
        <v>833</v>
      </c>
      <c r="Q11" s="347"/>
      <c r="R11" s="349"/>
      <c r="S11" s="347" t="s">
        <v>832</v>
      </c>
      <c r="T11" s="347"/>
      <c r="U11" s="347"/>
      <c r="V11" s="347"/>
      <c r="W11" s="338"/>
      <c r="X11" s="58"/>
      <c r="Y11" s="58"/>
      <c r="Z11" s="58"/>
    </row>
    <row r="12" spans="1:26" ht="13.5" customHeight="1">
      <c r="A12" s="58"/>
      <c r="B12" s="1672" t="s">
        <v>667</v>
      </c>
      <c r="C12" s="1673"/>
      <c r="D12" s="1673"/>
      <c r="E12" s="1673"/>
      <c r="F12" s="1673"/>
      <c r="G12" s="1673"/>
      <c r="H12" s="1673"/>
      <c r="I12" s="1673"/>
      <c r="J12" s="1673"/>
      <c r="K12" s="1674"/>
      <c r="L12" s="58"/>
      <c r="M12" s="343" t="s">
        <v>840</v>
      </c>
      <c r="N12" s="345"/>
      <c r="O12" s="345"/>
      <c r="P12" s="345" t="s">
        <v>505</v>
      </c>
      <c r="Q12" s="345"/>
      <c r="R12" s="345"/>
      <c r="S12" s="345"/>
      <c r="T12" s="345"/>
      <c r="U12" s="347"/>
      <c r="V12" s="347"/>
      <c r="W12" s="338"/>
      <c r="X12" s="58"/>
      <c r="Y12" s="58"/>
      <c r="Z12" s="58"/>
    </row>
    <row r="13" spans="1:26" ht="13.5" customHeight="1">
      <c r="A13" s="58"/>
      <c r="B13" s="124"/>
      <c r="C13" s="125"/>
      <c r="D13" s="125"/>
      <c r="E13" s="125"/>
      <c r="F13" s="125"/>
      <c r="G13" s="125"/>
      <c r="H13" s="125"/>
      <c r="I13" s="125"/>
      <c r="J13" s="125"/>
      <c r="K13" s="126"/>
      <c r="L13" s="58"/>
      <c r="M13" s="343"/>
      <c r="N13" s="345"/>
      <c r="O13" s="345"/>
      <c r="P13" s="345"/>
      <c r="Q13" s="345"/>
      <c r="R13" s="345"/>
      <c r="S13" s="345"/>
      <c r="T13" s="345"/>
      <c r="U13" s="345"/>
      <c r="V13" s="345"/>
      <c r="W13" s="346"/>
      <c r="X13" s="58"/>
      <c r="Y13" s="58"/>
      <c r="Z13" s="58"/>
    </row>
    <row r="14" spans="1:26" ht="13.5" customHeight="1">
      <c r="A14" s="58"/>
      <c r="B14" s="1672" t="s">
        <v>581</v>
      </c>
      <c r="C14" s="1673"/>
      <c r="D14" s="1673"/>
      <c r="E14" s="1673"/>
      <c r="F14" s="1673"/>
      <c r="G14" s="1673"/>
      <c r="H14" s="1673"/>
      <c r="I14" s="1673"/>
      <c r="J14" s="1673"/>
      <c r="K14" s="1674"/>
      <c r="L14" s="58"/>
      <c r="M14" s="343"/>
      <c r="N14" s="345"/>
      <c r="O14" s="345"/>
      <c r="P14" s="339"/>
      <c r="Q14" s="345"/>
      <c r="R14" s="345"/>
      <c r="S14" s="345"/>
      <c r="T14" s="345"/>
      <c r="U14" s="345"/>
      <c r="V14" s="345"/>
      <c r="W14" s="346"/>
      <c r="X14" s="58"/>
      <c r="Y14" s="58"/>
      <c r="Z14" s="58"/>
    </row>
    <row r="15" spans="1:26" ht="13.5" customHeight="1">
      <c r="A15" s="58"/>
      <c r="B15" s="124"/>
      <c r="C15" s="125"/>
      <c r="D15" s="125"/>
      <c r="E15" s="125"/>
      <c r="F15" s="125"/>
      <c r="G15" s="125"/>
      <c r="H15" s="125"/>
      <c r="I15" s="125"/>
      <c r="J15" s="125"/>
      <c r="K15" s="126"/>
      <c r="L15" s="58"/>
      <c r="M15" s="340" t="s">
        <v>843</v>
      </c>
      <c r="N15" s="345"/>
      <c r="O15" s="347">
        <v>6</v>
      </c>
      <c r="P15" s="345"/>
      <c r="Q15" s="345"/>
      <c r="R15" s="345"/>
      <c r="S15" s="345"/>
      <c r="T15" s="345"/>
      <c r="U15" s="345"/>
      <c r="V15" s="345"/>
      <c r="W15" s="346"/>
      <c r="X15" s="99"/>
      <c r="Y15" s="99"/>
      <c r="Z15" s="99"/>
    </row>
    <row r="16" spans="1:26" ht="13.5" customHeight="1">
      <c r="A16" s="58"/>
      <c r="B16" s="124"/>
      <c r="C16" s="125"/>
      <c r="D16" s="125"/>
      <c r="E16" s="125"/>
      <c r="F16" s="125"/>
      <c r="G16" s="125"/>
      <c r="H16" s="125"/>
      <c r="I16" s="125"/>
      <c r="J16" s="125"/>
      <c r="K16" s="126"/>
      <c r="L16" s="58"/>
      <c r="M16" s="343" t="s">
        <v>831</v>
      </c>
      <c r="N16" s="345"/>
      <c r="O16" s="345"/>
      <c r="P16" s="345" t="s">
        <v>837</v>
      </c>
      <c r="Q16" s="345"/>
      <c r="R16" s="345"/>
      <c r="S16" s="345" t="s">
        <v>832</v>
      </c>
      <c r="T16" s="345"/>
      <c r="U16" s="345"/>
      <c r="V16" s="345"/>
      <c r="W16" s="346"/>
      <c r="X16" s="60"/>
      <c r="Y16" s="60"/>
      <c r="Z16" s="60"/>
    </row>
    <row r="17" spans="1:26" ht="13.5">
      <c r="A17" s="58"/>
      <c r="B17" s="1681" t="s">
        <v>252</v>
      </c>
      <c r="C17" s="1682"/>
      <c r="D17" s="1682"/>
      <c r="E17" s="1682"/>
      <c r="F17" s="1682"/>
      <c r="G17" s="1682"/>
      <c r="H17" s="1682"/>
      <c r="I17" s="1682"/>
      <c r="J17" s="1682"/>
      <c r="K17" s="1683"/>
      <c r="L17" s="58"/>
      <c r="M17" s="343" t="s">
        <v>506</v>
      </c>
      <c r="N17" s="345"/>
      <c r="O17" s="345"/>
      <c r="P17" s="345" t="s">
        <v>507</v>
      </c>
      <c r="Q17" s="345"/>
      <c r="R17" s="345"/>
      <c r="S17" s="345"/>
      <c r="T17" s="345"/>
      <c r="U17" s="345"/>
      <c r="V17" s="345"/>
      <c r="W17" s="346"/>
      <c r="X17" s="60"/>
      <c r="Y17" s="60"/>
      <c r="Z17" s="60"/>
    </row>
    <row r="18" spans="1:26" ht="13.5">
      <c r="A18" s="58"/>
      <c r="B18" s="1684" t="s">
        <v>591</v>
      </c>
      <c r="C18" s="1685"/>
      <c r="D18" s="1685"/>
      <c r="E18" s="1685"/>
      <c r="F18" s="1685"/>
      <c r="G18" s="1685"/>
      <c r="H18" s="1685"/>
      <c r="I18" s="1685"/>
      <c r="J18" s="1685"/>
      <c r="K18" s="1686"/>
      <c r="L18" s="58"/>
      <c r="M18" s="343"/>
      <c r="N18" s="345"/>
      <c r="O18" s="345"/>
      <c r="P18" s="345"/>
      <c r="Q18" s="345"/>
      <c r="R18" s="345"/>
      <c r="S18" s="345"/>
      <c r="T18" s="345"/>
      <c r="U18" s="345"/>
      <c r="V18" s="345"/>
      <c r="W18" s="341"/>
      <c r="X18" s="68"/>
      <c r="Y18" s="68"/>
      <c r="Z18" s="68"/>
    </row>
    <row r="19" spans="1:26" ht="13.5">
      <c r="A19" s="58"/>
      <c r="B19" s="131" t="s">
        <v>253</v>
      </c>
      <c r="C19" s="128" t="s">
        <v>254</v>
      </c>
      <c r="D19" s="128"/>
      <c r="E19" s="128"/>
      <c r="F19" s="128"/>
      <c r="G19" s="128"/>
      <c r="H19" s="128"/>
      <c r="I19" s="128"/>
      <c r="J19" s="128"/>
      <c r="K19" s="129"/>
      <c r="L19" s="58"/>
      <c r="M19" s="344"/>
      <c r="N19" s="347"/>
      <c r="O19" s="347"/>
      <c r="P19" s="347"/>
      <c r="Q19" s="347"/>
      <c r="R19" s="347"/>
      <c r="S19" s="347"/>
      <c r="T19" s="347"/>
      <c r="U19" s="345"/>
      <c r="V19" s="345"/>
      <c r="W19" s="346"/>
      <c r="X19" s="58"/>
      <c r="Y19" s="58"/>
      <c r="Z19" s="58"/>
    </row>
    <row r="20" spans="1:26" ht="13.5">
      <c r="A20" s="58"/>
      <c r="B20" s="132" t="s">
        <v>257</v>
      </c>
      <c r="C20" s="128"/>
      <c r="D20" s="128"/>
      <c r="E20" s="128"/>
      <c r="F20" s="128"/>
      <c r="G20" s="128"/>
      <c r="H20" s="128"/>
      <c r="I20" s="128"/>
      <c r="J20" s="128"/>
      <c r="K20" s="129"/>
      <c r="L20" s="58"/>
      <c r="M20" s="134" t="s">
        <v>841</v>
      </c>
      <c r="N20" s="347"/>
      <c r="O20" s="347">
        <v>5</v>
      </c>
      <c r="P20" s="347"/>
      <c r="Q20" s="347"/>
      <c r="R20" s="347"/>
      <c r="S20" s="347"/>
      <c r="T20" s="347"/>
      <c r="U20" s="347"/>
      <c r="V20" s="347"/>
      <c r="W20" s="348"/>
      <c r="X20" s="58"/>
      <c r="Y20" s="58"/>
      <c r="Z20" s="58"/>
    </row>
    <row r="21" spans="1:26" ht="13.5">
      <c r="A21" s="58"/>
      <c r="B21" s="284" t="s">
        <v>1054</v>
      </c>
      <c r="C21" s="128"/>
      <c r="D21" s="128"/>
      <c r="E21" s="128"/>
      <c r="F21" s="128"/>
      <c r="G21" s="128"/>
      <c r="H21" s="128"/>
      <c r="I21" s="128"/>
      <c r="J21" s="128"/>
      <c r="K21" s="129"/>
      <c r="L21" s="58"/>
      <c r="M21" s="343" t="s">
        <v>831</v>
      </c>
      <c r="N21" s="347"/>
      <c r="O21" s="347"/>
      <c r="P21" s="347" t="s">
        <v>862</v>
      </c>
      <c r="Q21" s="347"/>
      <c r="R21" s="347"/>
      <c r="S21" s="347" t="s">
        <v>893</v>
      </c>
      <c r="T21" s="347"/>
      <c r="U21" s="347"/>
      <c r="V21" s="347"/>
      <c r="W21" s="348"/>
      <c r="X21" s="58"/>
      <c r="Y21" s="58"/>
      <c r="Z21" s="58"/>
    </row>
    <row r="22" spans="1:26" ht="13.5">
      <c r="A22" s="58"/>
      <c r="B22" s="284"/>
      <c r="C22" s="128"/>
      <c r="D22" s="128"/>
      <c r="E22" s="128"/>
      <c r="F22" s="128"/>
      <c r="G22" s="128"/>
      <c r="H22" s="128"/>
      <c r="I22" s="128"/>
      <c r="J22" s="128"/>
      <c r="K22" s="129"/>
      <c r="L22" s="58"/>
      <c r="M22" s="343"/>
      <c r="N22" s="347"/>
      <c r="O22" s="347"/>
      <c r="P22" s="347"/>
      <c r="Q22" s="347"/>
      <c r="R22" s="347"/>
      <c r="S22" s="347"/>
      <c r="T22" s="347"/>
      <c r="U22" s="347"/>
      <c r="V22" s="347"/>
      <c r="W22" s="348"/>
      <c r="X22" s="58"/>
      <c r="Y22" s="58"/>
      <c r="Z22" s="58"/>
    </row>
    <row r="23" spans="1:26" ht="13.5">
      <c r="A23" s="58"/>
      <c r="B23" s="127" t="s">
        <v>609</v>
      </c>
      <c r="C23" s="128"/>
      <c r="D23" s="128"/>
      <c r="E23" s="128"/>
      <c r="F23" s="128"/>
      <c r="G23" s="128"/>
      <c r="H23" s="128"/>
      <c r="I23" s="128"/>
      <c r="J23" s="128"/>
      <c r="K23" s="129"/>
      <c r="L23" s="58"/>
      <c r="M23" s="344"/>
      <c r="N23" s="347"/>
      <c r="O23" s="347"/>
      <c r="P23" s="347"/>
      <c r="Q23" s="347"/>
      <c r="R23" s="347"/>
      <c r="S23" s="347"/>
      <c r="T23" s="347"/>
      <c r="U23" s="347"/>
      <c r="V23" s="347"/>
      <c r="W23" s="348"/>
      <c r="X23" s="58"/>
      <c r="Y23" s="58"/>
      <c r="Z23" s="58"/>
    </row>
    <row r="24" spans="1:26" ht="13.5">
      <c r="A24" s="58"/>
      <c r="B24" s="127" t="s">
        <v>148</v>
      </c>
      <c r="C24" s="128"/>
      <c r="D24" s="128"/>
      <c r="E24" s="128"/>
      <c r="F24" s="128"/>
      <c r="G24" s="128"/>
      <c r="H24" s="128"/>
      <c r="I24" s="128"/>
      <c r="J24" s="128"/>
      <c r="K24" s="129"/>
      <c r="L24" s="58"/>
      <c r="M24" s="134" t="s">
        <v>842</v>
      </c>
      <c r="N24" s="347"/>
      <c r="O24" s="347">
        <v>5</v>
      </c>
      <c r="P24" s="347"/>
      <c r="Q24" s="347"/>
      <c r="R24" s="347"/>
      <c r="S24" s="347"/>
      <c r="T24" s="347"/>
      <c r="U24" s="347"/>
      <c r="V24" s="347"/>
      <c r="W24" s="348"/>
      <c r="X24" s="58"/>
      <c r="Y24" s="58"/>
      <c r="Z24" s="58"/>
    </row>
    <row r="25" spans="1:26" ht="13.5">
      <c r="A25" s="58"/>
      <c r="B25" s="127" t="s">
        <v>149</v>
      </c>
      <c r="C25" s="128"/>
      <c r="D25" s="128"/>
      <c r="E25" s="128"/>
      <c r="F25" s="128"/>
      <c r="G25" s="128"/>
      <c r="H25" s="128"/>
      <c r="I25" s="128"/>
      <c r="J25" s="128"/>
      <c r="K25" s="129"/>
      <c r="L25" s="58"/>
      <c r="M25" s="284" t="s">
        <v>844</v>
      </c>
      <c r="N25" s="347"/>
      <c r="O25" s="347"/>
      <c r="P25" s="347" t="s">
        <v>862</v>
      </c>
      <c r="Q25" s="347"/>
      <c r="R25" s="347"/>
      <c r="S25" s="347" t="s">
        <v>893</v>
      </c>
      <c r="T25" s="347"/>
      <c r="U25" s="347"/>
      <c r="V25" s="347"/>
      <c r="W25" s="348"/>
      <c r="X25" s="58"/>
      <c r="Y25" s="58"/>
      <c r="Z25" s="58"/>
    </row>
    <row r="26" spans="1:26" ht="13.5">
      <c r="A26" s="58"/>
      <c r="B26" s="127" t="s">
        <v>602</v>
      </c>
      <c r="C26" s="128"/>
      <c r="D26" s="128"/>
      <c r="E26" s="128"/>
      <c r="F26" s="128"/>
      <c r="G26" s="128"/>
      <c r="H26" s="128"/>
      <c r="I26" s="128"/>
      <c r="J26" s="128"/>
      <c r="K26" s="129"/>
      <c r="L26" s="58"/>
      <c r="M26" s="344"/>
      <c r="N26" s="347"/>
      <c r="O26" s="347"/>
      <c r="P26" s="347"/>
      <c r="Q26" s="347"/>
      <c r="R26" s="347"/>
      <c r="S26" s="347"/>
      <c r="T26" s="347"/>
      <c r="U26" s="347"/>
      <c r="V26" s="347"/>
      <c r="W26" s="348"/>
      <c r="X26" s="58"/>
      <c r="Y26" s="58"/>
      <c r="Z26" s="58"/>
    </row>
    <row r="27" spans="1:26" ht="13.5">
      <c r="A27" s="58"/>
      <c r="B27" s="127" t="s">
        <v>258</v>
      </c>
      <c r="C27" s="128"/>
      <c r="D27" s="133" t="s">
        <v>259</v>
      </c>
      <c r="E27" s="128" t="s">
        <v>260</v>
      </c>
      <c r="F27" s="128"/>
      <c r="G27" s="128"/>
      <c r="H27" s="128"/>
      <c r="I27" s="128"/>
      <c r="J27" s="128"/>
      <c r="K27" s="129"/>
      <c r="L27" s="58"/>
      <c r="M27" s="344"/>
      <c r="N27" s="347"/>
      <c r="O27" s="347"/>
      <c r="P27" s="353"/>
      <c r="Q27" s="347"/>
      <c r="R27" s="347"/>
      <c r="S27" s="347"/>
      <c r="T27" s="347"/>
      <c r="U27" s="347"/>
      <c r="V27" s="347"/>
      <c r="W27" s="348"/>
      <c r="X27" s="58"/>
      <c r="Y27" s="58"/>
      <c r="Z27" s="58"/>
    </row>
    <row r="28" spans="1:26" ht="13.5">
      <c r="A28" s="58"/>
      <c r="B28" s="131" t="s">
        <v>253</v>
      </c>
      <c r="C28" s="128" t="s">
        <v>962</v>
      </c>
      <c r="D28" s="128"/>
      <c r="E28" s="128"/>
      <c r="F28" s="128"/>
      <c r="G28" s="128"/>
      <c r="H28" s="128"/>
      <c r="I28" s="128"/>
      <c r="J28" s="128"/>
      <c r="K28" s="129"/>
      <c r="L28" s="58"/>
      <c r="M28" s="134" t="s">
        <v>845</v>
      </c>
      <c r="N28" s="347"/>
      <c r="O28" s="128" t="s">
        <v>957</v>
      </c>
      <c r="P28" s="347"/>
      <c r="Q28" s="347"/>
      <c r="R28" s="347"/>
      <c r="S28" s="347"/>
      <c r="T28" s="347"/>
      <c r="U28" s="347"/>
      <c r="V28" s="347"/>
      <c r="W28" s="348"/>
      <c r="X28" s="58"/>
      <c r="Y28" s="58"/>
      <c r="Z28" s="58"/>
    </row>
    <row r="29" spans="1:26" ht="13.5">
      <c r="A29" s="58"/>
      <c r="B29" s="127"/>
      <c r="C29" s="128"/>
      <c r="D29" s="128"/>
      <c r="E29" s="128"/>
      <c r="F29" s="128"/>
      <c r="G29" s="128"/>
      <c r="H29" s="128"/>
      <c r="I29" s="128"/>
      <c r="J29" s="128"/>
      <c r="K29" s="129"/>
      <c r="L29" s="58"/>
      <c r="M29" s="344" t="s">
        <v>846</v>
      </c>
      <c r="N29" s="347"/>
      <c r="O29" s="347"/>
      <c r="P29" s="347" t="s">
        <v>847</v>
      </c>
      <c r="Q29" s="347"/>
      <c r="R29" s="347"/>
      <c r="S29" s="347" t="s">
        <v>848</v>
      </c>
      <c r="T29" s="347"/>
      <c r="U29" s="347"/>
      <c r="V29" s="347"/>
      <c r="W29" s="348"/>
      <c r="X29" s="58"/>
      <c r="Y29" s="58"/>
      <c r="Z29" s="58"/>
    </row>
    <row r="30" spans="1:26" ht="13.5">
      <c r="A30" s="58"/>
      <c r="B30" s="127" t="s">
        <v>261</v>
      </c>
      <c r="C30" s="128"/>
      <c r="D30" s="128"/>
      <c r="E30" s="331"/>
      <c r="F30" s="128"/>
      <c r="G30" s="128"/>
      <c r="H30" s="128"/>
      <c r="I30" s="128"/>
      <c r="J30" s="128"/>
      <c r="K30" s="129"/>
      <c r="L30" s="58"/>
      <c r="M30" s="344" t="s">
        <v>854</v>
      </c>
      <c r="N30" s="347"/>
      <c r="O30" s="347"/>
      <c r="P30" s="347"/>
      <c r="Q30" s="347"/>
      <c r="R30" s="347"/>
      <c r="S30" s="347"/>
      <c r="T30" s="347"/>
      <c r="U30" s="347"/>
      <c r="V30" s="347"/>
      <c r="W30" s="348"/>
      <c r="X30" s="58"/>
      <c r="Y30" s="58"/>
      <c r="Z30" s="58"/>
    </row>
    <row r="31" spans="1:26" ht="13.5">
      <c r="A31" s="58"/>
      <c r="B31" s="127" t="s">
        <v>592</v>
      </c>
      <c r="C31" s="128"/>
      <c r="D31" s="128"/>
      <c r="E31" s="128"/>
      <c r="F31" s="128"/>
      <c r="G31" s="128"/>
      <c r="H31" s="128"/>
      <c r="I31" s="128"/>
      <c r="J31" s="128"/>
      <c r="K31" s="129"/>
      <c r="L31" s="58"/>
      <c r="M31" s="344"/>
      <c r="N31" s="347"/>
      <c r="O31" s="347"/>
      <c r="P31" s="347"/>
      <c r="Q31" s="347"/>
      <c r="R31" s="347"/>
      <c r="S31" s="347"/>
      <c r="T31" s="347"/>
      <c r="U31" s="347"/>
      <c r="V31" s="347"/>
      <c r="W31" s="348"/>
      <c r="X31" s="58"/>
      <c r="Y31" s="58"/>
      <c r="Z31" s="58"/>
    </row>
    <row r="32" spans="1:26" ht="13.5" customHeight="1">
      <c r="A32" s="58"/>
      <c r="B32" s="127" t="s">
        <v>593</v>
      </c>
      <c r="C32" s="128"/>
      <c r="D32" s="128"/>
      <c r="E32" s="128"/>
      <c r="F32" s="128"/>
      <c r="G32" s="128"/>
      <c r="H32" s="128"/>
      <c r="I32" s="128"/>
      <c r="J32" s="128"/>
      <c r="K32" s="129"/>
      <c r="L32" s="58"/>
      <c r="M32" s="134"/>
      <c r="N32" s="347"/>
      <c r="O32" s="347"/>
      <c r="P32" s="347"/>
      <c r="Q32" s="347"/>
      <c r="R32" s="347"/>
      <c r="S32" s="347"/>
      <c r="T32" s="347"/>
      <c r="U32" s="347"/>
      <c r="V32" s="347"/>
      <c r="W32" s="348"/>
      <c r="X32" s="58"/>
      <c r="Y32" s="58"/>
      <c r="Z32" s="58"/>
    </row>
    <row r="33" spans="1:26" ht="13.5" customHeight="1">
      <c r="A33" s="58"/>
      <c r="B33" s="127" t="s">
        <v>594</v>
      </c>
      <c r="C33" s="128"/>
      <c r="D33" s="128"/>
      <c r="E33" s="128"/>
      <c r="F33" s="128"/>
      <c r="G33" s="128"/>
      <c r="H33" s="128"/>
      <c r="I33" s="128"/>
      <c r="J33" s="128"/>
      <c r="K33" s="129"/>
      <c r="L33" s="58"/>
      <c r="M33" s="134" t="s">
        <v>849</v>
      </c>
      <c r="N33" s="347"/>
      <c r="O33" s="347" t="s">
        <v>900</v>
      </c>
      <c r="P33" s="347"/>
      <c r="Q33" s="347"/>
      <c r="R33" s="347"/>
      <c r="S33" s="347"/>
      <c r="T33" s="347"/>
      <c r="U33" s="347"/>
      <c r="V33" s="347"/>
      <c r="W33" s="348"/>
      <c r="X33" s="58"/>
      <c r="Y33" s="58"/>
      <c r="Z33" s="58"/>
    </row>
    <row r="34" spans="1:26" ht="13.5">
      <c r="A34" s="58"/>
      <c r="B34" s="127"/>
      <c r="C34" s="128"/>
      <c r="D34" s="128"/>
      <c r="E34" s="128"/>
      <c r="F34" s="128"/>
      <c r="G34" s="128"/>
      <c r="H34" s="128"/>
      <c r="I34" s="128"/>
      <c r="J34" s="128"/>
      <c r="K34" s="129"/>
      <c r="L34" s="58"/>
      <c r="M34" s="344" t="s">
        <v>847</v>
      </c>
      <c r="N34" s="347"/>
      <c r="O34" s="347"/>
      <c r="P34" s="347" t="s">
        <v>850</v>
      </c>
      <c r="Q34" s="347"/>
      <c r="R34" s="347"/>
      <c r="S34" s="347" t="s">
        <v>852</v>
      </c>
      <c r="T34" s="347"/>
      <c r="U34" s="347"/>
      <c r="V34" s="347"/>
      <c r="W34" s="348"/>
      <c r="X34" s="58"/>
      <c r="Y34" s="58"/>
      <c r="Z34" s="58"/>
    </row>
    <row r="35" spans="1:26" ht="13.5">
      <c r="A35" s="58"/>
      <c r="B35" s="467" t="s">
        <v>963</v>
      </c>
      <c r="C35" s="128"/>
      <c r="D35" s="128"/>
      <c r="E35" s="128"/>
      <c r="F35" s="128"/>
      <c r="G35" s="128"/>
      <c r="H35" s="128"/>
      <c r="I35" s="128"/>
      <c r="J35" s="128"/>
      <c r="K35" s="129"/>
      <c r="L35" s="58"/>
      <c r="M35" s="344" t="s">
        <v>851</v>
      </c>
      <c r="N35" s="347"/>
      <c r="O35" s="347"/>
      <c r="P35" s="347" t="s">
        <v>853</v>
      </c>
      <c r="Q35" s="347"/>
      <c r="R35" s="347"/>
      <c r="S35" s="347"/>
      <c r="T35" s="347"/>
      <c r="U35" s="347"/>
      <c r="V35" s="347"/>
      <c r="W35" s="341"/>
      <c r="X35" s="58"/>
      <c r="Y35" s="58"/>
      <c r="Z35" s="58"/>
    </row>
    <row r="36" spans="1:26" ht="13.5">
      <c r="A36" s="58"/>
      <c r="B36" s="495" t="s">
        <v>995</v>
      </c>
      <c r="C36" s="128" t="s">
        <v>23</v>
      </c>
      <c r="D36" s="128"/>
      <c r="E36" s="128"/>
      <c r="F36" s="128"/>
      <c r="G36" s="128"/>
      <c r="H36" s="128"/>
      <c r="I36" s="128"/>
      <c r="J36" s="128"/>
      <c r="K36" s="129"/>
      <c r="L36" s="58"/>
      <c r="M36" s="344"/>
      <c r="N36" s="347"/>
      <c r="O36" s="347"/>
      <c r="P36" s="347"/>
      <c r="Q36" s="347"/>
      <c r="R36" s="347"/>
      <c r="S36" s="347"/>
      <c r="T36" s="347"/>
      <c r="U36" s="347"/>
      <c r="V36" s="347"/>
      <c r="W36" s="348"/>
      <c r="X36" s="58"/>
      <c r="Y36" s="58"/>
      <c r="Z36" s="58"/>
    </row>
    <row r="37" spans="1:26" ht="13.5">
      <c r="A37" s="58"/>
      <c r="B37" s="467" t="s">
        <v>1209</v>
      </c>
      <c r="C37" s="128"/>
      <c r="D37" s="128"/>
      <c r="E37" s="128"/>
      <c r="F37" s="128"/>
      <c r="G37" s="128"/>
      <c r="H37" s="128"/>
      <c r="I37" s="128"/>
      <c r="J37" s="128"/>
      <c r="K37" s="129"/>
      <c r="L37" s="58"/>
      <c r="M37" s="134"/>
      <c r="N37" s="347"/>
      <c r="O37" s="347"/>
      <c r="P37" s="347"/>
      <c r="Q37" s="347"/>
      <c r="R37" s="347"/>
      <c r="S37" s="347"/>
      <c r="T37" s="347"/>
      <c r="U37" s="347"/>
      <c r="V37" s="347"/>
      <c r="W37" s="348"/>
      <c r="X37" s="58"/>
      <c r="Y37" s="58"/>
      <c r="Z37" s="58"/>
    </row>
    <row r="38" spans="1:26" ht="13.5">
      <c r="A38" s="58"/>
      <c r="B38" s="127"/>
      <c r="C38" s="128"/>
      <c r="D38" s="128"/>
      <c r="E38" s="331"/>
      <c r="F38" s="128"/>
      <c r="G38" s="128"/>
      <c r="H38" s="128"/>
      <c r="I38" s="128"/>
      <c r="J38" s="128"/>
      <c r="K38" s="129"/>
      <c r="L38" s="58"/>
      <c r="M38" s="134" t="s">
        <v>855</v>
      </c>
      <c r="N38" s="350"/>
      <c r="O38" s="347">
        <v>4</v>
      </c>
      <c r="P38" s="347"/>
      <c r="Q38" s="347"/>
      <c r="R38" s="347"/>
      <c r="S38" s="347"/>
      <c r="T38" s="347"/>
      <c r="U38" s="347"/>
      <c r="V38" s="347"/>
      <c r="W38" s="348"/>
      <c r="X38" s="58"/>
      <c r="Y38" s="58"/>
      <c r="Z38" s="58"/>
    </row>
    <row r="39" spans="1:26" ht="13.5">
      <c r="A39" s="58"/>
      <c r="B39" s="127" t="s">
        <v>964</v>
      </c>
      <c r="C39" s="128"/>
      <c r="D39" s="128"/>
      <c r="E39" s="331"/>
      <c r="F39" s="128"/>
      <c r="G39" s="128"/>
      <c r="H39" s="128"/>
      <c r="I39" s="128"/>
      <c r="J39" s="128"/>
      <c r="K39" s="129"/>
      <c r="L39" s="58"/>
      <c r="M39" s="344" t="s">
        <v>831</v>
      </c>
      <c r="N39" s="347"/>
      <c r="O39" s="347"/>
      <c r="P39" s="347" t="s">
        <v>857</v>
      </c>
      <c r="Q39" s="347"/>
      <c r="R39" s="347"/>
      <c r="S39" s="856" t="s">
        <v>856</v>
      </c>
      <c r="T39" s="347"/>
      <c r="U39" s="347"/>
      <c r="V39" s="347"/>
      <c r="W39" s="348"/>
      <c r="X39" s="58"/>
      <c r="Y39" s="58"/>
      <c r="Z39" s="58"/>
    </row>
    <row r="40" spans="1:26" ht="13.5">
      <c r="A40" s="58"/>
      <c r="B40" s="127" t="s">
        <v>967</v>
      </c>
      <c r="C40" s="128"/>
      <c r="D40" s="128"/>
      <c r="E40" s="331"/>
      <c r="F40" s="128"/>
      <c r="G40" s="128"/>
      <c r="H40" s="128"/>
      <c r="I40" s="128"/>
      <c r="J40" s="128"/>
      <c r="K40" s="129"/>
      <c r="L40" s="58"/>
      <c r="M40" s="344" t="s">
        <v>586</v>
      </c>
      <c r="N40" s="347"/>
      <c r="O40" s="347"/>
      <c r="P40" s="347"/>
      <c r="Q40" s="347"/>
      <c r="R40" s="347"/>
      <c r="S40" s="856"/>
      <c r="T40" s="347"/>
      <c r="U40" s="347"/>
      <c r="V40" s="347"/>
      <c r="W40" s="348"/>
      <c r="X40" s="58"/>
      <c r="Y40" s="58"/>
      <c r="Z40" s="58"/>
    </row>
    <row r="41" spans="1:26" ht="13.5">
      <c r="A41" s="58"/>
      <c r="B41" s="127" t="s">
        <v>965</v>
      </c>
      <c r="C41" s="128"/>
      <c r="D41" s="128"/>
      <c r="E41" s="331"/>
      <c r="F41" s="128"/>
      <c r="G41" s="128"/>
      <c r="H41" s="128"/>
      <c r="I41" s="128"/>
      <c r="J41" s="128"/>
      <c r="K41" s="129"/>
      <c r="L41" s="58"/>
      <c r="M41" s="134"/>
      <c r="N41" s="347"/>
      <c r="O41" s="347"/>
      <c r="P41" s="347"/>
      <c r="Q41" s="347"/>
      <c r="R41" s="347"/>
      <c r="S41" s="347"/>
      <c r="T41" s="347"/>
      <c r="U41" s="347"/>
      <c r="V41" s="347"/>
      <c r="W41" s="348"/>
      <c r="X41" s="58"/>
      <c r="Y41" s="58"/>
      <c r="Z41" s="58"/>
    </row>
    <row r="42" spans="1:26" ht="13.5">
      <c r="A42" s="58"/>
      <c r="B42" s="127" t="s">
        <v>966</v>
      </c>
      <c r="C42" s="128"/>
      <c r="D42" s="128"/>
      <c r="E42" s="331"/>
      <c r="F42" s="128"/>
      <c r="G42" s="128"/>
      <c r="H42" s="128"/>
      <c r="I42" s="128"/>
      <c r="J42" s="128"/>
      <c r="K42" s="129"/>
      <c r="L42" s="58"/>
      <c r="M42" s="134"/>
      <c r="N42" s="347"/>
      <c r="O42" s="347"/>
      <c r="P42" s="347"/>
      <c r="Q42" s="347"/>
      <c r="R42" s="347"/>
      <c r="S42" s="347"/>
      <c r="T42" s="347"/>
      <c r="U42" s="347"/>
      <c r="V42" s="347"/>
      <c r="W42" s="348"/>
      <c r="X42" s="58"/>
      <c r="Y42" s="58"/>
      <c r="Z42" s="58"/>
    </row>
    <row r="43" spans="1:26" ht="13.5" customHeight="1">
      <c r="A43" s="58"/>
      <c r="B43" s="127"/>
      <c r="C43" s="128"/>
      <c r="D43" s="128"/>
      <c r="E43" s="331"/>
      <c r="F43" s="128"/>
      <c r="G43" s="128"/>
      <c r="H43" s="128"/>
      <c r="I43" s="128"/>
      <c r="J43" s="128"/>
      <c r="K43" s="129"/>
      <c r="L43" s="58"/>
      <c r="M43" s="134" t="s">
        <v>858</v>
      </c>
      <c r="N43" s="347"/>
      <c r="O43" s="347">
        <v>5</v>
      </c>
      <c r="P43" s="347"/>
      <c r="Q43" s="347"/>
      <c r="R43" s="347"/>
      <c r="S43" s="347"/>
      <c r="T43" s="347"/>
      <c r="U43" s="347"/>
      <c r="V43" s="347"/>
      <c r="W43" s="348"/>
      <c r="X43" s="58"/>
      <c r="Y43" s="58"/>
      <c r="Z43" s="58"/>
    </row>
    <row r="44" spans="1:26" ht="13.5">
      <c r="A44" s="58"/>
      <c r="B44" s="127"/>
      <c r="C44" s="128"/>
      <c r="D44" s="128"/>
      <c r="E44" s="128"/>
      <c r="F44" s="128"/>
      <c r="G44" s="128"/>
      <c r="H44" s="128"/>
      <c r="I44" s="128"/>
      <c r="J44" s="128"/>
      <c r="K44" s="129"/>
      <c r="L44" s="58"/>
      <c r="M44" s="344" t="s">
        <v>831</v>
      </c>
      <c r="N44" s="347"/>
      <c r="O44" s="347"/>
      <c r="P44" s="347" t="s">
        <v>857</v>
      </c>
      <c r="Q44" s="347"/>
      <c r="R44" s="347"/>
      <c r="S44" s="349" t="s">
        <v>859</v>
      </c>
      <c r="T44" s="347"/>
      <c r="U44" s="347"/>
      <c r="V44" s="347"/>
      <c r="W44" s="348"/>
      <c r="X44" s="60"/>
      <c r="Y44" s="60"/>
      <c r="Z44" s="60"/>
    </row>
    <row r="45" spans="1:26" ht="13.5">
      <c r="A45" s="58"/>
      <c r="B45" s="1681" t="s">
        <v>610</v>
      </c>
      <c r="C45" s="1682"/>
      <c r="D45" s="1682"/>
      <c r="E45" s="1682"/>
      <c r="F45" s="1682"/>
      <c r="G45" s="1682"/>
      <c r="H45" s="1682"/>
      <c r="I45" s="1682"/>
      <c r="J45" s="1682"/>
      <c r="K45" s="1683"/>
      <c r="L45" s="58"/>
      <c r="M45" s="344"/>
      <c r="N45" s="347"/>
      <c r="O45" s="347"/>
      <c r="P45" s="347"/>
      <c r="Q45" s="347"/>
      <c r="R45" s="347"/>
      <c r="S45" s="347"/>
      <c r="T45" s="347"/>
      <c r="U45" s="347"/>
      <c r="V45" s="347"/>
      <c r="W45" s="348"/>
      <c r="X45" s="60"/>
      <c r="Y45" s="60"/>
      <c r="Z45" s="60"/>
    </row>
    <row r="46" spans="1:26" ht="13.5">
      <c r="A46" s="58"/>
      <c r="B46" s="127" t="s">
        <v>623</v>
      </c>
      <c r="C46" s="128"/>
      <c r="D46" s="128"/>
      <c r="E46" s="128"/>
      <c r="F46" s="128"/>
      <c r="G46" s="128"/>
      <c r="H46" s="128"/>
      <c r="I46" s="128"/>
      <c r="J46" s="128"/>
      <c r="K46" s="129"/>
      <c r="L46" s="58"/>
      <c r="M46" s="344"/>
      <c r="N46" s="347"/>
      <c r="O46" s="347"/>
      <c r="P46" s="347"/>
      <c r="Q46" s="347"/>
      <c r="R46" s="347"/>
      <c r="S46" s="347"/>
      <c r="T46" s="347"/>
      <c r="U46" s="347"/>
      <c r="V46" s="347"/>
      <c r="W46" s="348"/>
      <c r="X46" s="60"/>
      <c r="Y46" s="60"/>
      <c r="Z46" s="60"/>
    </row>
    <row r="47" spans="1:26" ht="13.5">
      <c r="A47" s="58"/>
      <c r="B47" s="127" t="s">
        <v>624</v>
      </c>
      <c r="C47" s="128"/>
      <c r="D47" s="128"/>
      <c r="E47" s="128"/>
      <c r="F47" s="128"/>
      <c r="G47" s="128"/>
      <c r="H47" s="128"/>
      <c r="I47" s="128"/>
      <c r="J47" s="128"/>
      <c r="K47" s="129"/>
      <c r="L47" s="58"/>
      <c r="M47" s="134" t="s">
        <v>860</v>
      </c>
      <c r="N47" s="347"/>
      <c r="O47" s="347">
        <v>3</v>
      </c>
      <c r="P47" s="347"/>
      <c r="Q47" s="347"/>
      <c r="R47" s="347"/>
      <c r="S47" s="347"/>
      <c r="T47" s="347"/>
      <c r="U47" s="347"/>
      <c r="V47" s="347"/>
      <c r="W47" s="348"/>
      <c r="X47" s="60"/>
      <c r="Y47" s="60"/>
      <c r="Z47" s="60"/>
    </row>
    <row r="48" spans="1:26" ht="13.5">
      <c r="A48" s="58"/>
      <c r="B48" s="127" t="s">
        <v>625</v>
      </c>
      <c r="C48" s="286"/>
      <c r="D48" s="128"/>
      <c r="E48" s="128"/>
      <c r="F48" s="128"/>
      <c r="G48" s="128"/>
      <c r="H48" s="128"/>
      <c r="I48" s="128"/>
      <c r="J48" s="128"/>
      <c r="K48" s="129"/>
      <c r="L48" s="58"/>
      <c r="M48" s="344" t="s">
        <v>831</v>
      </c>
      <c r="N48" s="347"/>
      <c r="O48" s="347"/>
      <c r="P48" s="347" t="s">
        <v>861</v>
      </c>
      <c r="Q48" s="347"/>
      <c r="R48" s="347"/>
      <c r="S48" s="347"/>
      <c r="T48" s="347"/>
      <c r="U48" s="347"/>
      <c r="V48" s="347"/>
      <c r="W48" s="348"/>
      <c r="X48" s="60"/>
      <c r="Y48" s="60"/>
      <c r="Z48" s="60"/>
    </row>
    <row r="49" spans="1:26" ht="13.5">
      <c r="A49" s="58"/>
      <c r="B49" s="127"/>
      <c r="C49" s="128"/>
      <c r="D49" s="128"/>
      <c r="E49" s="128"/>
      <c r="F49" s="128"/>
      <c r="G49" s="128"/>
      <c r="H49" s="128"/>
      <c r="I49" s="128"/>
      <c r="J49" s="128"/>
      <c r="K49" s="129"/>
      <c r="L49" s="58"/>
      <c r="M49" s="344"/>
      <c r="N49" s="347"/>
      <c r="O49" s="347"/>
      <c r="P49" s="347"/>
      <c r="Q49" s="347"/>
      <c r="R49" s="347"/>
      <c r="S49" s="347"/>
      <c r="T49" s="347"/>
      <c r="U49" s="347"/>
      <c r="V49" s="347"/>
      <c r="W49" s="348"/>
      <c r="X49" s="60"/>
      <c r="Y49" s="60"/>
      <c r="Z49" s="60"/>
    </row>
    <row r="50" spans="1:26" ht="13.5">
      <c r="A50" s="58"/>
      <c r="B50" s="127" t="s">
        <v>626</v>
      </c>
      <c r="C50" s="128"/>
      <c r="D50" s="128"/>
      <c r="E50" s="128"/>
      <c r="F50" s="128"/>
      <c r="G50" s="128"/>
      <c r="H50" s="128"/>
      <c r="I50" s="128"/>
      <c r="J50" s="128"/>
      <c r="K50" s="129"/>
      <c r="L50" s="58"/>
      <c r="M50" s="344"/>
      <c r="N50" s="347"/>
      <c r="O50" s="347"/>
      <c r="P50" s="347"/>
      <c r="Q50" s="347"/>
      <c r="R50" s="347"/>
      <c r="S50" s="347"/>
      <c r="T50" s="347"/>
      <c r="U50" s="347"/>
      <c r="V50" s="347"/>
      <c r="W50" s="348"/>
      <c r="X50" s="60"/>
      <c r="Y50" s="60"/>
      <c r="Z50" s="60"/>
    </row>
    <row r="51" spans="1:26" ht="13.5">
      <c r="A51" s="58"/>
      <c r="B51" s="127" t="s">
        <v>612</v>
      </c>
      <c r="C51" s="128"/>
      <c r="D51" s="128" t="s">
        <v>615</v>
      </c>
      <c r="E51" s="128"/>
      <c r="F51" s="128"/>
      <c r="G51" s="128"/>
      <c r="H51" s="128"/>
      <c r="I51" s="128"/>
      <c r="J51" s="128"/>
      <c r="K51" s="129"/>
      <c r="L51" s="58"/>
      <c r="M51" s="134" t="s">
        <v>863</v>
      </c>
      <c r="N51" s="347"/>
      <c r="O51" s="347">
        <v>3</v>
      </c>
      <c r="P51" s="347"/>
      <c r="Q51" s="347"/>
      <c r="R51" s="347"/>
      <c r="S51" s="347"/>
      <c r="T51" s="347"/>
      <c r="U51" s="347"/>
      <c r="V51" s="347"/>
      <c r="W51" s="348"/>
      <c r="X51" s="60"/>
      <c r="Y51" s="60"/>
      <c r="Z51" s="60"/>
    </row>
    <row r="52" spans="1:26" ht="13.5">
      <c r="A52" s="58"/>
      <c r="B52" s="127" t="s">
        <v>611</v>
      </c>
      <c r="C52" s="128"/>
      <c r="D52" s="128" t="s">
        <v>108</v>
      </c>
      <c r="E52" s="128"/>
      <c r="F52" s="128"/>
      <c r="G52" s="128"/>
      <c r="H52" s="128"/>
      <c r="I52" s="128"/>
      <c r="J52" s="128"/>
      <c r="K52" s="129"/>
      <c r="L52" s="58"/>
      <c r="M52" s="344" t="s">
        <v>831</v>
      </c>
      <c r="N52" s="347"/>
      <c r="O52" s="347"/>
      <c r="P52" s="347" t="s">
        <v>899</v>
      </c>
      <c r="Q52" s="347"/>
      <c r="R52" s="347"/>
      <c r="S52" s="347"/>
      <c r="T52" s="347"/>
      <c r="U52" s="347"/>
      <c r="V52" s="347"/>
      <c r="W52" s="348"/>
      <c r="X52" s="60"/>
      <c r="Y52" s="60"/>
      <c r="Z52" s="60"/>
    </row>
    <row r="53" spans="1:26" ht="13.5">
      <c r="A53" s="58"/>
      <c r="B53" s="127" t="s">
        <v>613</v>
      </c>
      <c r="C53" s="128"/>
      <c r="D53" s="128" t="s">
        <v>988</v>
      </c>
      <c r="E53" s="128"/>
      <c r="F53" s="128"/>
      <c r="G53" s="128"/>
      <c r="H53" s="128"/>
      <c r="I53" s="128"/>
      <c r="J53" s="128"/>
      <c r="K53" s="129"/>
      <c r="L53" s="58"/>
      <c r="M53" s="344"/>
      <c r="N53" s="347"/>
      <c r="O53" s="347"/>
      <c r="P53" s="347"/>
      <c r="Q53" s="347"/>
      <c r="R53" s="347"/>
      <c r="S53" s="347"/>
      <c r="T53" s="347"/>
      <c r="U53" s="347"/>
      <c r="V53" s="347"/>
      <c r="W53" s="348"/>
      <c r="X53" s="60"/>
      <c r="Y53" s="60"/>
      <c r="Z53" s="60"/>
    </row>
    <row r="54" spans="1:26" ht="13.5">
      <c r="A54" s="58"/>
      <c r="B54" s="127" t="s">
        <v>614</v>
      </c>
      <c r="C54" s="128"/>
      <c r="D54" s="128" t="s">
        <v>110</v>
      </c>
      <c r="E54" s="128"/>
      <c r="F54" s="128"/>
      <c r="G54" s="128"/>
      <c r="H54" s="128"/>
      <c r="I54" s="128"/>
      <c r="J54" s="128"/>
      <c r="K54" s="129"/>
      <c r="L54" s="58"/>
      <c r="M54" s="134" t="s">
        <v>230</v>
      </c>
      <c r="N54" s="347"/>
      <c r="O54" s="347">
        <v>6</v>
      </c>
      <c r="P54" s="347"/>
      <c r="Q54" s="347"/>
      <c r="R54" s="347"/>
      <c r="S54" s="347"/>
      <c r="T54" s="347"/>
      <c r="U54" s="347"/>
      <c r="V54" s="347"/>
      <c r="W54" s="348"/>
      <c r="X54" s="60"/>
      <c r="Y54" s="60"/>
      <c r="Z54" s="60"/>
    </row>
    <row r="55" spans="1:26" ht="13.5">
      <c r="A55" s="58"/>
      <c r="B55" s="127"/>
      <c r="C55" s="128"/>
      <c r="D55" s="128" t="s">
        <v>619</v>
      </c>
      <c r="E55" s="128"/>
      <c r="F55" s="128"/>
      <c r="G55" s="128"/>
      <c r="H55" s="128"/>
      <c r="I55" s="128"/>
      <c r="J55" s="128"/>
      <c r="K55" s="129"/>
      <c r="L55" s="58"/>
      <c r="M55" s="344" t="s">
        <v>587</v>
      </c>
      <c r="N55" s="347"/>
      <c r="O55" s="347"/>
      <c r="P55" s="347" t="s">
        <v>588</v>
      </c>
      <c r="Q55" s="347"/>
      <c r="R55" s="347" t="s">
        <v>231</v>
      </c>
      <c r="S55" s="347" t="s">
        <v>590</v>
      </c>
      <c r="T55" s="347"/>
      <c r="U55" s="347"/>
      <c r="V55" s="347"/>
      <c r="W55" s="348"/>
      <c r="X55" s="60"/>
      <c r="Y55" s="60"/>
      <c r="Z55" s="60"/>
    </row>
    <row r="56" spans="1:26" ht="13.5">
      <c r="A56" s="58"/>
      <c r="B56" s="127" t="s">
        <v>620</v>
      </c>
      <c r="C56" s="128"/>
      <c r="D56" s="128" t="s">
        <v>109</v>
      </c>
      <c r="E56" s="128"/>
      <c r="F56" s="128"/>
      <c r="G56" s="128"/>
      <c r="H56" s="128"/>
      <c r="I56" s="128"/>
      <c r="J56" s="128"/>
      <c r="K56" s="129"/>
      <c r="L56" s="58"/>
      <c r="M56" s="344" t="s">
        <v>589</v>
      </c>
      <c r="N56" s="347"/>
      <c r="O56" s="347"/>
      <c r="P56" s="347"/>
      <c r="Q56" s="347"/>
      <c r="R56" s="347"/>
      <c r="S56" s="347"/>
      <c r="T56" s="347"/>
      <c r="U56" s="347"/>
      <c r="V56" s="347"/>
      <c r="W56" s="348"/>
      <c r="X56" s="60"/>
      <c r="Y56" s="60"/>
      <c r="Z56" s="60"/>
    </row>
    <row r="57" spans="1:26" ht="13.5">
      <c r="A57" s="58"/>
      <c r="B57" s="127" t="s">
        <v>621</v>
      </c>
      <c r="C57" s="128"/>
      <c r="D57" s="128" t="s">
        <v>622</v>
      </c>
      <c r="E57" s="128"/>
      <c r="F57" s="128"/>
      <c r="G57" s="128"/>
      <c r="H57" s="128"/>
      <c r="I57" s="128"/>
      <c r="J57" s="128"/>
      <c r="K57" s="129"/>
      <c r="L57" s="58"/>
      <c r="M57" s="344" t="s">
        <v>232</v>
      </c>
      <c r="N57" s="347"/>
      <c r="O57" s="347"/>
      <c r="P57" s="347"/>
      <c r="Q57" s="347"/>
      <c r="R57" s="347"/>
      <c r="S57" s="347"/>
      <c r="T57" s="347"/>
      <c r="U57" s="347"/>
      <c r="V57" s="347"/>
      <c r="W57" s="348"/>
      <c r="X57" s="60"/>
      <c r="Y57" s="60"/>
      <c r="Z57" s="60"/>
    </row>
    <row r="58" spans="1:26" ht="13.5">
      <c r="A58" s="58"/>
      <c r="B58" s="127"/>
      <c r="C58" s="128"/>
      <c r="D58" s="128"/>
      <c r="E58" s="128"/>
      <c r="F58" s="128"/>
      <c r="G58" s="128"/>
      <c r="H58" s="128"/>
      <c r="I58" s="128"/>
      <c r="J58" s="128"/>
      <c r="K58" s="129"/>
      <c r="L58" s="58"/>
      <c r="M58" s="344"/>
      <c r="N58" s="347"/>
      <c r="O58" s="347"/>
      <c r="P58" s="347"/>
      <c r="Q58" s="347"/>
      <c r="R58" s="347"/>
      <c r="S58" s="347"/>
      <c r="T58" s="347"/>
      <c r="U58" s="347"/>
      <c r="V58" s="347"/>
      <c r="W58" s="348"/>
      <c r="X58" s="60"/>
      <c r="Y58" s="60"/>
      <c r="Z58" s="60"/>
    </row>
    <row r="59" spans="1:26" ht="13.5">
      <c r="A59" s="58"/>
      <c r="B59" s="127"/>
      <c r="C59" s="128"/>
      <c r="D59" s="128"/>
      <c r="E59" s="128"/>
      <c r="F59" s="128"/>
      <c r="G59" s="128"/>
      <c r="H59" s="128"/>
      <c r="I59" s="128"/>
      <c r="J59" s="128"/>
      <c r="K59" s="129"/>
      <c r="L59" s="58"/>
      <c r="M59" s="134" t="s">
        <v>379</v>
      </c>
      <c r="N59" s="347"/>
      <c r="O59" s="347">
        <v>6</v>
      </c>
      <c r="P59" s="347"/>
      <c r="Q59" s="347"/>
      <c r="R59" s="347"/>
      <c r="S59" s="347"/>
      <c r="T59" s="347"/>
      <c r="U59" s="347"/>
      <c r="V59" s="347"/>
      <c r="W59" s="348"/>
      <c r="X59" s="58"/>
      <c r="Y59" s="58"/>
      <c r="Z59" s="58"/>
    </row>
    <row r="60" spans="1:26" ht="13.5">
      <c r="A60" s="58"/>
      <c r="B60" s="134" t="s">
        <v>262</v>
      </c>
      <c r="C60" s="128"/>
      <c r="D60" s="128"/>
      <c r="E60" s="128"/>
      <c r="F60" s="128"/>
      <c r="G60" s="128"/>
      <c r="H60" s="128"/>
      <c r="I60" s="128"/>
      <c r="J60" s="128"/>
      <c r="K60" s="129"/>
      <c r="L60" s="58"/>
      <c r="M60" s="344" t="s">
        <v>846</v>
      </c>
      <c r="N60" s="347"/>
      <c r="O60" s="347"/>
      <c r="P60" s="347" t="s">
        <v>380</v>
      </c>
      <c r="Q60" s="347"/>
      <c r="R60" s="347"/>
      <c r="S60" s="347"/>
      <c r="T60" s="347"/>
      <c r="U60" s="347"/>
      <c r="V60" s="347"/>
      <c r="W60" s="348"/>
      <c r="X60" s="58"/>
      <c r="Y60" s="58"/>
      <c r="Z60" s="58"/>
    </row>
    <row r="61" spans="1:26" ht="13.5">
      <c r="A61" s="58"/>
      <c r="B61" s="127" t="s">
        <v>263</v>
      </c>
      <c r="C61" s="128"/>
      <c r="D61" s="128"/>
      <c r="E61" s="128"/>
      <c r="F61" s="128"/>
      <c r="G61" s="128"/>
      <c r="H61" s="128"/>
      <c r="I61" s="128"/>
      <c r="J61" s="128"/>
      <c r="K61" s="129"/>
      <c r="L61" s="58"/>
      <c r="M61" s="344"/>
      <c r="N61" s="347"/>
      <c r="O61" s="347"/>
      <c r="P61" s="347"/>
      <c r="Q61" s="347"/>
      <c r="R61" s="347"/>
      <c r="S61" s="347"/>
      <c r="T61" s="347"/>
      <c r="U61" s="347"/>
      <c r="V61" s="347"/>
      <c r="W61" s="348"/>
      <c r="X61" s="58"/>
      <c r="Y61" s="58"/>
      <c r="Z61" s="58"/>
    </row>
    <row r="62" spans="1:26" ht="13.5">
      <c r="A62" s="58"/>
      <c r="B62" s="127" t="s">
        <v>595</v>
      </c>
      <c r="C62" s="128"/>
      <c r="D62" s="128"/>
      <c r="E62" s="128"/>
      <c r="F62" s="128"/>
      <c r="G62" s="128"/>
      <c r="H62" s="128"/>
      <c r="I62" s="128"/>
      <c r="J62" s="128"/>
      <c r="K62" s="129"/>
      <c r="L62" s="58"/>
      <c r="M62" s="134" t="s">
        <v>891</v>
      </c>
      <c r="N62" s="347"/>
      <c r="O62" s="347">
        <v>5.5</v>
      </c>
      <c r="P62" s="347"/>
      <c r="Q62" s="347"/>
      <c r="R62" s="347"/>
      <c r="S62" s="347"/>
      <c r="T62" s="347"/>
      <c r="U62" s="347"/>
      <c r="V62" s="347"/>
      <c r="W62" s="348"/>
      <c r="X62" s="58"/>
      <c r="Y62" s="58"/>
      <c r="Z62" s="58"/>
    </row>
    <row r="63" spans="1:26" ht="13.5">
      <c r="A63" s="58"/>
      <c r="B63" s="127" t="s">
        <v>264</v>
      </c>
      <c r="C63" s="128"/>
      <c r="D63" s="128"/>
      <c r="E63" s="128"/>
      <c r="F63" s="128"/>
      <c r="G63" s="128"/>
      <c r="H63" s="128"/>
      <c r="I63" s="128"/>
      <c r="J63" s="128"/>
      <c r="K63" s="129"/>
      <c r="L63" s="58"/>
      <c r="M63" s="344" t="s">
        <v>831</v>
      </c>
      <c r="N63" s="347"/>
      <c r="O63" s="347"/>
      <c r="P63" s="347" t="s">
        <v>582</v>
      </c>
      <c r="Q63" s="347"/>
      <c r="R63" s="347"/>
      <c r="S63" s="347" t="s">
        <v>583</v>
      </c>
      <c r="T63" s="347"/>
      <c r="U63" s="347"/>
      <c r="V63" s="347"/>
      <c r="W63" s="348"/>
      <c r="X63" s="58"/>
      <c r="Y63" s="58"/>
      <c r="Z63" s="58"/>
    </row>
    <row r="64" spans="1:26" ht="13.5">
      <c r="A64" s="58"/>
      <c r="B64" s="127" t="s">
        <v>111</v>
      </c>
      <c r="C64" s="128"/>
      <c r="D64" s="128"/>
      <c r="E64" s="128"/>
      <c r="F64" s="128"/>
      <c r="G64" s="128"/>
      <c r="H64" s="128"/>
      <c r="I64" s="128"/>
      <c r="J64" s="128"/>
      <c r="K64" s="129"/>
      <c r="L64" s="58"/>
      <c r="M64" s="344" t="s">
        <v>832</v>
      </c>
      <c r="N64" s="347"/>
      <c r="O64" s="347"/>
      <c r="P64" s="347" t="s">
        <v>584</v>
      </c>
      <c r="Q64" s="347"/>
      <c r="R64" s="347"/>
      <c r="S64" s="347" t="s">
        <v>585</v>
      </c>
      <c r="T64" s="347"/>
      <c r="U64" s="347"/>
      <c r="V64" s="347"/>
      <c r="W64" s="348"/>
      <c r="X64" s="58"/>
      <c r="Y64" s="58"/>
      <c r="Z64" s="58"/>
    </row>
    <row r="65" spans="1:26" ht="13.5">
      <c r="A65" s="58"/>
      <c r="B65" s="127"/>
      <c r="C65" s="128"/>
      <c r="D65" s="128"/>
      <c r="E65" s="128"/>
      <c r="F65" s="128"/>
      <c r="G65" s="128"/>
      <c r="H65" s="128"/>
      <c r="I65" s="128"/>
      <c r="J65" s="128"/>
      <c r="K65" s="129"/>
      <c r="L65" s="58"/>
      <c r="M65" s="344"/>
      <c r="N65" s="347"/>
      <c r="O65" s="347"/>
      <c r="P65" s="347"/>
      <c r="Q65" s="347"/>
      <c r="R65" s="347"/>
      <c r="S65" s="347"/>
      <c r="T65" s="347"/>
      <c r="U65" s="347"/>
      <c r="V65" s="347"/>
      <c r="W65" s="348"/>
      <c r="X65" s="58"/>
      <c r="Y65" s="58"/>
      <c r="Z65" s="58"/>
    </row>
    <row r="66" spans="1:26" ht="13.5">
      <c r="A66" s="58"/>
      <c r="B66" s="127" t="s">
        <v>266</v>
      </c>
      <c r="C66" s="128"/>
      <c r="D66" s="128"/>
      <c r="E66" s="128"/>
      <c r="F66" s="128"/>
      <c r="G66" s="128"/>
      <c r="H66" s="128"/>
      <c r="I66" s="128"/>
      <c r="J66" s="128"/>
      <c r="K66" s="129"/>
      <c r="L66" s="58"/>
      <c r="M66" s="340" t="s">
        <v>892</v>
      </c>
      <c r="N66" s="347"/>
      <c r="O66" s="347">
        <v>4</v>
      </c>
      <c r="P66" s="347"/>
      <c r="Q66" s="347"/>
      <c r="R66" s="347"/>
      <c r="S66" s="347"/>
      <c r="T66" s="347"/>
      <c r="U66" s="347"/>
      <c r="V66" s="347"/>
      <c r="W66" s="348"/>
      <c r="X66" s="58"/>
      <c r="Y66" s="58"/>
      <c r="Z66" s="58"/>
    </row>
    <row r="67" spans="1:26" ht="13.5">
      <c r="A67" s="58"/>
      <c r="B67" s="127" t="s">
        <v>267</v>
      </c>
      <c r="C67" s="128"/>
      <c r="D67" s="128"/>
      <c r="E67" s="128"/>
      <c r="F67" s="128"/>
      <c r="G67" s="128"/>
      <c r="H67" s="128"/>
      <c r="I67" s="128"/>
      <c r="J67" s="128"/>
      <c r="K67" s="129"/>
      <c r="L67" s="58"/>
      <c r="M67" s="344" t="s">
        <v>831</v>
      </c>
      <c r="N67" s="347"/>
      <c r="O67" s="347"/>
      <c r="P67" s="347" t="s">
        <v>862</v>
      </c>
      <c r="Q67" s="347"/>
      <c r="R67" s="347"/>
      <c r="S67" s="347" t="s">
        <v>893</v>
      </c>
      <c r="T67" s="347"/>
      <c r="U67" s="347"/>
      <c r="V67" s="347"/>
      <c r="W67" s="348"/>
      <c r="X67" s="58"/>
      <c r="Y67" s="58"/>
      <c r="Z67" s="58"/>
    </row>
    <row r="68" spans="1:26" ht="13.5">
      <c r="A68" s="58"/>
      <c r="B68" s="127"/>
      <c r="C68" s="128"/>
      <c r="D68" s="128"/>
      <c r="E68" s="128"/>
      <c r="F68" s="128"/>
      <c r="G68" s="128"/>
      <c r="H68" s="128"/>
      <c r="I68" s="128"/>
      <c r="J68" s="128"/>
      <c r="K68" s="129"/>
      <c r="L68" s="58"/>
      <c r="M68" s="344"/>
      <c r="N68" s="347"/>
      <c r="O68" s="347"/>
      <c r="P68" s="347"/>
      <c r="Q68" s="347"/>
      <c r="R68" s="347"/>
      <c r="S68" s="347"/>
      <c r="T68" s="347"/>
      <c r="U68" s="347"/>
      <c r="V68" s="347"/>
      <c r="W68" s="348"/>
      <c r="X68" s="58"/>
      <c r="Y68" s="58"/>
      <c r="Z68" s="58"/>
    </row>
    <row r="69" spans="1:26" ht="13.5">
      <c r="A69" s="58"/>
      <c r="B69" s="127" t="s">
        <v>992</v>
      </c>
      <c r="C69" s="128"/>
      <c r="D69" s="373" t="s">
        <v>993</v>
      </c>
      <c r="E69" s="128" t="s">
        <v>994</v>
      </c>
      <c r="F69" s="128"/>
      <c r="G69" s="128"/>
      <c r="H69" s="128"/>
      <c r="I69" s="128"/>
      <c r="J69" s="128"/>
      <c r="K69" s="129"/>
      <c r="L69" s="58"/>
      <c r="M69" s="344"/>
      <c r="N69" s="347"/>
      <c r="O69" s="347"/>
      <c r="P69" s="347"/>
      <c r="Q69" s="347"/>
      <c r="R69" s="347"/>
      <c r="S69" s="347"/>
      <c r="T69" s="347"/>
      <c r="U69" s="347"/>
      <c r="V69" s="347"/>
      <c r="W69" s="348"/>
      <c r="X69" s="58"/>
      <c r="Y69" s="58"/>
      <c r="Z69" s="58"/>
    </row>
    <row r="70" spans="1:26" ht="13.5">
      <c r="A70" s="58"/>
      <c r="B70" s="131" t="s">
        <v>995</v>
      </c>
      <c r="C70" s="128" t="s">
        <v>996</v>
      </c>
      <c r="D70" s="128"/>
      <c r="E70" s="128"/>
      <c r="F70" s="128"/>
      <c r="G70" s="128" t="s">
        <v>1000</v>
      </c>
      <c r="H70" s="128"/>
      <c r="I70" s="128"/>
      <c r="J70" s="128"/>
      <c r="K70" s="129"/>
      <c r="L70" s="58"/>
      <c r="M70" s="344"/>
      <c r="N70" s="347"/>
      <c r="O70" s="347"/>
      <c r="P70" s="347"/>
      <c r="Q70" s="347"/>
      <c r="R70" s="347"/>
      <c r="S70" s="347"/>
      <c r="T70" s="347"/>
      <c r="U70" s="347"/>
      <c r="V70" s="347"/>
      <c r="W70" s="348"/>
      <c r="X70" s="58"/>
      <c r="Y70" s="58"/>
      <c r="Z70" s="58"/>
    </row>
    <row r="71" spans="1:26" ht="13.5">
      <c r="A71" s="58"/>
      <c r="B71" s="127" t="s">
        <v>269</v>
      </c>
      <c r="C71" s="128"/>
      <c r="D71" s="128"/>
      <c r="E71" s="128"/>
      <c r="F71" s="128"/>
      <c r="G71" s="128"/>
      <c r="H71" s="128"/>
      <c r="I71" s="128"/>
      <c r="J71" s="128"/>
      <c r="K71" s="129"/>
      <c r="L71" s="58"/>
      <c r="M71" s="344"/>
      <c r="N71" s="347"/>
      <c r="O71" s="347"/>
      <c r="P71" s="347"/>
      <c r="Q71" s="347"/>
      <c r="R71" s="347"/>
      <c r="S71" s="347"/>
      <c r="T71" s="347"/>
      <c r="U71" s="347"/>
      <c r="V71" s="347"/>
      <c r="W71" s="354" t="s">
        <v>968</v>
      </c>
      <c r="X71" s="58"/>
      <c r="Y71" s="58"/>
      <c r="Z71" s="58"/>
    </row>
    <row r="72" spans="1:26" ht="14.25" thickBot="1">
      <c r="A72" s="58"/>
      <c r="B72" s="127" t="s">
        <v>29</v>
      </c>
      <c r="C72" s="128"/>
      <c r="D72" s="128"/>
      <c r="E72" s="128"/>
      <c r="F72" s="128"/>
      <c r="G72" s="128"/>
      <c r="H72" s="128"/>
      <c r="I72" s="128"/>
      <c r="J72" s="128"/>
      <c r="K72" s="129"/>
      <c r="L72" s="58"/>
      <c r="M72" s="355"/>
      <c r="N72" s="356"/>
      <c r="O72" s="356"/>
      <c r="P72" s="356"/>
      <c r="Q72" s="356"/>
      <c r="R72" s="356"/>
      <c r="S72" s="356"/>
      <c r="T72" s="356"/>
      <c r="U72" s="356"/>
      <c r="V72" s="356"/>
      <c r="W72" s="357"/>
      <c r="X72" s="58"/>
      <c r="Y72" s="58"/>
      <c r="Z72" s="58"/>
    </row>
    <row r="73" spans="1:26" ht="13.5">
      <c r="A73" s="58"/>
      <c r="B73" s="127" t="s">
        <v>1001</v>
      </c>
      <c r="C73" s="128"/>
      <c r="D73" s="128"/>
      <c r="E73" s="128"/>
      <c r="F73" s="128"/>
      <c r="G73" s="128"/>
      <c r="H73" s="128"/>
      <c r="I73" s="128"/>
      <c r="J73" s="128"/>
      <c r="K73" s="129"/>
      <c r="L73" s="58"/>
      <c r="M73" s="364" t="s">
        <v>903</v>
      </c>
      <c r="N73" s="365"/>
      <c r="O73" s="365"/>
      <c r="P73" s="365"/>
      <c r="Q73" s="365"/>
      <c r="R73" s="365"/>
      <c r="S73" s="365"/>
      <c r="T73" s="365"/>
      <c r="U73" s="365"/>
      <c r="V73" s="365"/>
      <c r="W73" s="366"/>
      <c r="X73" s="58"/>
      <c r="Y73" s="58"/>
      <c r="Z73" s="58"/>
    </row>
    <row r="74" spans="1:26" ht="13.5">
      <c r="A74" s="58"/>
      <c r="B74" s="374" t="s">
        <v>1003</v>
      </c>
      <c r="C74" s="128"/>
      <c r="D74" s="128"/>
      <c r="E74" s="128"/>
      <c r="F74" s="128"/>
      <c r="G74" s="128"/>
      <c r="H74" s="128"/>
      <c r="I74" s="128"/>
      <c r="J74" s="128"/>
      <c r="K74" s="129"/>
      <c r="L74" s="58"/>
      <c r="M74" s="344" t="s">
        <v>932</v>
      </c>
      <c r="N74" s="347"/>
      <c r="O74" s="347"/>
      <c r="P74" s="347"/>
      <c r="Q74" s="347"/>
      <c r="R74" s="347"/>
      <c r="S74" s="347"/>
      <c r="T74" s="347"/>
      <c r="U74" s="347"/>
      <c r="V74" s="347"/>
      <c r="W74" s="348"/>
      <c r="X74" s="58"/>
      <c r="Y74" s="58"/>
      <c r="Z74" s="58"/>
    </row>
    <row r="75" spans="1:26" ht="13.5">
      <c r="A75" s="58"/>
      <c r="B75" s="127"/>
      <c r="C75" s="128"/>
      <c r="D75" s="128"/>
      <c r="E75" s="128"/>
      <c r="F75" s="128"/>
      <c r="G75" s="128"/>
      <c r="H75" s="128"/>
      <c r="I75" s="128"/>
      <c r="J75" s="128"/>
      <c r="K75" s="129"/>
      <c r="L75" s="58"/>
      <c r="M75" s="344" t="s">
        <v>933</v>
      </c>
      <c r="N75" s="347"/>
      <c r="O75" s="347"/>
      <c r="P75" s="347"/>
      <c r="Q75" s="347"/>
      <c r="R75" s="347"/>
      <c r="S75" s="347"/>
      <c r="T75" s="347"/>
      <c r="U75" s="347"/>
      <c r="V75" s="347"/>
      <c r="W75" s="348"/>
      <c r="X75" s="58"/>
      <c r="Y75" s="58"/>
      <c r="Z75" s="58"/>
    </row>
    <row r="76" spans="1:26" ht="13.5">
      <c r="A76" s="58"/>
      <c r="B76" s="127"/>
      <c r="C76" s="128"/>
      <c r="D76" s="128"/>
      <c r="E76" s="128"/>
      <c r="F76" s="128"/>
      <c r="G76" s="128"/>
      <c r="H76" s="128"/>
      <c r="I76" s="128"/>
      <c r="J76" s="128"/>
      <c r="K76" s="129"/>
      <c r="L76" s="58"/>
      <c r="M76" s="344" t="s">
        <v>375</v>
      </c>
      <c r="N76" s="347"/>
      <c r="O76" s="347"/>
      <c r="P76" s="347"/>
      <c r="Q76" s="347"/>
      <c r="R76" s="347"/>
      <c r="S76" s="347"/>
      <c r="T76" s="347"/>
      <c r="U76" s="347"/>
      <c r="V76" s="347"/>
      <c r="W76" s="348"/>
      <c r="X76" s="58"/>
      <c r="Y76" s="58"/>
      <c r="Z76" s="58"/>
    </row>
    <row r="77" spans="1:26" ht="13.5">
      <c r="A77" s="58"/>
      <c r="B77" s="134" t="s">
        <v>274</v>
      </c>
      <c r="C77" s="128"/>
      <c r="D77" s="128"/>
      <c r="E77" s="128"/>
      <c r="F77" s="128"/>
      <c r="G77" s="128"/>
      <c r="H77" s="128"/>
      <c r="I77" s="128"/>
      <c r="J77" s="128"/>
      <c r="K77" s="129"/>
      <c r="L77" s="58"/>
      <c r="M77" s="135" t="s">
        <v>376</v>
      </c>
      <c r="N77" s="347"/>
      <c r="O77" s="347"/>
      <c r="P77" s="347"/>
      <c r="Q77" s="347"/>
      <c r="R77" s="347"/>
      <c r="S77" s="347"/>
      <c r="T77" s="347"/>
      <c r="U77" s="347"/>
      <c r="V77" s="347"/>
      <c r="W77" s="348"/>
      <c r="X77" s="58"/>
      <c r="Y77" s="58"/>
      <c r="Z77" s="58"/>
    </row>
    <row r="78" spans="1:26" ht="13.5">
      <c r="A78" s="58"/>
      <c r="B78" s="127" t="s">
        <v>596</v>
      </c>
      <c r="C78" s="128"/>
      <c r="D78" s="128"/>
      <c r="E78" s="128"/>
      <c r="F78" s="128"/>
      <c r="G78" s="128"/>
      <c r="H78" s="128"/>
      <c r="I78" s="128"/>
      <c r="J78" s="128"/>
      <c r="K78" s="129"/>
      <c r="L78" s="58"/>
      <c r="M78" s="135" t="s">
        <v>934</v>
      </c>
      <c r="N78" s="347"/>
      <c r="O78" s="347"/>
      <c r="P78" s="347"/>
      <c r="Q78" s="347"/>
      <c r="R78" s="347"/>
      <c r="S78" s="347"/>
      <c r="T78" s="347"/>
      <c r="U78" s="347"/>
      <c r="V78" s="347"/>
      <c r="W78" s="348"/>
      <c r="X78" s="58"/>
      <c r="Y78" s="58"/>
      <c r="Z78" s="58"/>
    </row>
    <row r="79" spans="1:26" ht="13.5">
      <c r="A79" s="58"/>
      <c r="B79" s="127" t="s">
        <v>275</v>
      </c>
      <c r="C79" s="128"/>
      <c r="D79" s="128"/>
      <c r="E79" s="128"/>
      <c r="F79" s="128"/>
      <c r="G79" s="128"/>
      <c r="H79" s="128"/>
      <c r="I79" s="128"/>
      <c r="J79" s="128"/>
      <c r="K79" s="129"/>
      <c r="L79" s="58"/>
      <c r="M79" s="135" t="s">
        <v>935</v>
      </c>
      <c r="N79" s="347"/>
      <c r="O79" s="347"/>
      <c r="P79" s="347"/>
      <c r="Q79" s="347"/>
      <c r="R79" s="347"/>
      <c r="S79" s="347"/>
      <c r="T79" s="347"/>
      <c r="U79" s="347"/>
      <c r="V79" s="347"/>
      <c r="W79" s="348"/>
      <c r="X79" s="58"/>
      <c r="Y79" s="58"/>
      <c r="Z79" s="58"/>
    </row>
    <row r="80" spans="1:26" ht="13.5">
      <c r="A80" s="58"/>
      <c r="B80" s="127" t="s">
        <v>281</v>
      </c>
      <c r="C80" s="128"/>
      <c r="D80" s="222" t="s">
        <v>599</v>
      </c>
      <c r="E80" s="128"/>
      <c r="F80" s="128"/>
      <c r="G80" s="285" t="s">
        <v>597</v>
      </c>
      <c r="H80" s="222" t="s">
        <v>598</v>
      </c>
      <c r="I80" s="22"/>
      <c r="J80" s="128"/>
      <c r="K80" s="129"/>
      <c r="L80" s="58"/>
      <c r="M80" s="135" t="s">
        <v>377</v>
      </c>
      <c r="N80" s="347"/>
      <c r="O80" s="347"/>
      <c r="P80" s="347"/>
      <c r="Q80" s="347"/>
      <c r="R80" s="347"/>
      <c r="S80" s="347"/>
      <c r="T80" s="347"/>
      <c r="U80" s="347"/>
      <c r="V80" s="347"/>
      <c r="W80" s="348"/>
      <c r="X80" s="58"/>
      <c r="Y80" s="58"/>
      <c r="Z80" s="58"/>
    </row>
    <row r="81" spans="1:26" ht="13.5">
      <c r="A81" s="58"/>
      <c r="B81" s="127" t="s">
        <v>492</v>
      </c>
      <c r="C81" s="128"/>
      <c r="D81" s="222" t="s">
        <v>493</v>
      </c>
      <c r="E81" s="128"/>
      <c r="F81" s="128"/>
      <c r="G81" s="128"/>
      <c r="H81" s="128"/>
      <c r="I81" s="128"/>
      <c r="J81" s="128"/>
      <c r="K81" s="129"/>
      <c r="L81" s="58"/>
      <c r="M81" s="135" t="s">
        <v>887</v>
      </c>
      <c r="N81" s="347"/>
      <c r="O81" s="347"/>
      <c r="P81" s="347"/>
      <c r="Q81" s="347"/>
      <c r="R81" s="347"/>
      <c r="S81" s="347"/>
      <c r="T81" s="347"/>
      <c r="U81" s="347"/>
      <c r="V81" s="347"/>
      <c r="W81" s="348"/>
      <c r="X81" s="58"/>
      <c r="Y81" s="58"/>
      <c r="Z81" s="58"/>
    </row>
    <row r="82" spans="1:26" ht="13.5">
      <c r="A82" s="58"/>
      <c r="B82" s="127"/>
      <c r="C82" s="128"/>
      <c r="D82" s="222"/>
      <c r="E82" s="128"/>
      <c r="F82" s="128"/>
      <c r="G82" s="128"/>
      <c r="H82" s="128"/>
      <c r="I82" s="128"/>
      <c r="J82" s="128"/>
      <c r="K82" s="129"/>
      <c r="L82" s="58"/>
      <c r="M82" s="135"/>
      <c r="N82" s="347"/>
      <c r="O82" s="347"/>
      <c r="P82" s="347"/>
      <c r="Q82" s="347"/>
      <c r="R82" s="347"/>
      <c r="S82" s="347"/>
      <c r="T82" s="347"/>
      <c r="U82" s="347"/>
      <c r="V82" s="347"/>
      <c r="W82" s="348"/>
      <c r="X82" s="58"/>
      <c r="Y82" s="58"/>
      <c r="Z82" s="58"/>
    </row>
    <row r="83" spans="1:26" ht="13.5">
      <c r="A83" s="58"/>
      <c r="B83" s="127"/>
      <c r="C83" s="128"/>
      <c r="D83" s="128"/>
      <c r="E83" s="128"/>
      <c r="F83" s="128"/>
      <c r="G83" s="128"/>
      <c r="H83" s="128"/>
      <c r="I83" s="128"/>
      <c r="J83" s="128"/>
      <c r="K83" s="129"/>
      <c r="L83" s="58"/>
      <c r="M83" s="344" t="s">
        <v>886</v>
      </c>
      <c r="N83" s="347"/>
      <c r="O83" s="347"/>
      <c r="P83" s="347"/>
      <c r="Q83" s="347"/>
      <c r="R83" s="347"/>
      <c r="S83" s="347"/>
      <c r="T83" s="347"/>
      <c r="U83" s="347"/>
      <c r="V83" s="347"/>
      <c r="W83" s="348"/>
      <c r="X83" s="58"/>
      <c r="Y83" s="58"/>
      <c r="Z83" s="58"/>
    </row>
    <row r="84" spans="1:26" ht="13.5">
      <c r="A84" s="58"/>
      <c r="B84" s="330"/>
      <c r="C84" s="331"/>
      <c r="D84" s="331"/>
      <c r="E84" s="331"/>
      <c r="F84" s="331"/>
      <c r="G84" s="331"/>
      <c r="H84" s="331"/>
      <c r="I84" s="331"/>
      <c r="J84" s="331"/>
      <c r="K84" s="219"/>
      <c r="L84" s="58"/>
      <c r="M84" s="344" t="s">
        <v>936</v>
      </c>
      <c r="N84" s="347"/>
      <c r="O84" s="347"/>
      <c r="P84" s="347"/>
      <c r="Q84" s="347"/>
      <c r="R84" s="347"/>
      <c r="S84" s="347"/>
      <c r="T84" s="347"/>
      <c r="U84" s="347"/>
      <c r="V84" s="347"/>
      <c r="W84" s="348"/>
      <c r="X84" s="58"/>
      <c r="Y84" s="58"/>
      <c r="Z84" s="58"/>
    </row>
    <row r="85" spans="1:26" ht="13.5">
      <c r="A85" s="58"/>
      <c r="B85" s="340" t="s">
        <v>270</v>
      </c>
      <c r="C85" s="128"/>
      <c r="D85" s="128"/>
      <c r="E85" s="128"/>
      <c r="F85" s="128"/>
      <c r="G85" s="128"/>
      <c r="H85" s="128"/>
      <c r="I85" s="128"/>
      <c r="J85" s="128"/>
      <c r="K85" s="129"/>
      <c r="L85" s="58"/>
      <c r="M85" s="358"/>
      <c r="N85" s="359"/>
      <c r="O85" s="360"/>
      <c r="P85" s="359"/>
      <c r="Q85" s="359"/>
      <c r="R85" s="359"/>
      <c r="S85" s="360"/>
      <c r="T85" s="361"/>
      <c r="U85" s="359"/>
      <c r="V85" s="359"/>
      <c r="W85" s="362"/>
      <c r="X85" s="58"/>
      <c r="Y85" s="58"/>
      <c r="Z85" s="58"/>
    </row>
    <row r="86" spans="1:26" ht="13.5">
      <c r="A86" s="58"/>
      <c r="B86" s="284" t="s">
        <v>926</v>
      </c>
      <c r="C86" s="128"/>
      <c r="D86" s="128"/>
      <c r="E86" s="128"/>
      <c r="F86" s="128"/>
      <c r="G86" s="128"/>
      <c r="H86" s="128"/>
      <c r="I86" s="128"/>
      <c r="J86" s="128"/>
      <c r="K86" s="129"/>
      <c r="L86" s="58"/>
      <c r="M86" s="344" t="s">
        <v>888</v>
      </c>
      <c r="N86" s="347"/>
      <c r="O86" s="351"/>
      <c r="P86" s="347"/>
      <c r="Q86" s="347"/>
      <c r="R86" s="347"/>
      <c r="S86" s="347"/>
      <c r="T86" s="347"/>
      <c r="U86" s="347"/>
      <c r="V86" s="347"/>
      <c r="W86" s="348"/>
      <c r="X86" s="58"/>
      <c r="Y86" s="58"/>
      <c r="Z86" s="58"/>
    </row>
    <row r="87" spans="1:26" ht="13.5">
      <c r="A87" s="58"/>
      <c r="B87" s="340" t="s">
        <v>931</v>
      </c>
      <c r="C87" s="128"/>
      <c r="D87" s="128" t="s">
        <v>566</v>
      </c>
      <c r="E87" s="128"/>
      <c r="F87" s="128"/>
      <c r="G87" s="128"/>
      <c r="H87" s="128"/>
      <c r="I87" s="128"/>
      <c r="J87" s="128"/>
      <c r="K87" s="129"/>
      <c r="L87" s="58"/>
      <c r="M87" s="344" t="s">
        <v>889</v>
      </c>
      <c r="N87" s="347"/>
      <c r="O87" s="347"/>
      <c r="P87" s="347"/>
      <c r="Q87" s="347"/>
      <c r="R87" s="347"/>
      <c r="S87" s="347"/>
      <c r="T87" s="347"/>
      <c r="U87" s="347"/>
      <c r="V87" s="347"/>
      <c r="W87" s="348"/>
      <c r="X87" s="58"/>
      <c r="Y87" s="58"/>
      <c r="Z87" s="58"/>
    </row>
    <row r="88" spans="1:26" ht="13.5">
      <c r="A88" s="58"/>
      <c r="B88" s="284" t="s">
        <v>927</v>
      </c>
      <c r="C88" s="128"/>
      <c r="D88" s="128"/>
      <c r="E88" s="128"/>
      <c r="F88" s="128"/>
      <c r="G88" s="128"/>
      <c r="H88" s="128"/>
      <c r="I88" s="128"/>
      <c r="J88" s="128"/>
      <c r="K88" s="129"/>
      <c r="L88" s="58"/>
      <c r="M88" s="358"/>
      <c r="N88" s="359"/>
      <c r="O88" s="359"/>
      <c r="P88" s="359"/>
      <c r="Q88" s="359"/>
      <c r="R88" s="359"/>
      <c r="S88" s="359"/>
      <c r="T88" s="359"/>
      <c r="U88" s="359"/>
      <c r="V88" s="359"/>
      <c r="W88" s="362"/>
      <c r="X88" s="58"/>
      <c r="Y88" s="58"/>
      <c r="Z88" s="58"/>
    </row>
    <row r="89" spans="1:26" ht="13.5">
      <c r="A89" s="58"/>
      <c r="B89" s="284" t="s">
        <v>928</v>
      </c>
      <c r="C89" s="128"/>
      <c r="D89" s="128"/>
      <c r="E89" s="128"/>
      <c r="F89" s="128"/>
      <c r="G89" s="128"/>
      <c r="H89" s="128"/>
      <c r="I89" s="128"/>
      <c r="J89" s="128"/>
      <c r="K89" s="129"/>
      <c r="L89" s="58"/>
      <c r="M89" s="344" t="s">
        <v>937</v>
      </c>
      <c r="N89" s="347"/>
      <c r="O89" s="347"/>
      <c r="P89" s="347"/>
      <c r="Q89" s="347"/>
      <c r="R89" s="347"/>
      <c r="S89" s="347"/>
      <c r="T89" s="347"/>
      <c r="U89" s="347"/>
      <c r="V89" s="347"/>
      <c r="W89" s="348"/>
      <c r="X89" s="58"/>
      <c r="Y89" s="58"/>
      <c r="Z89" s="58"/>
    </row>
    <row r="90" spans="1:26" ht="13.5">
      <c r="A90" s="58"/>
      <c r="B90" s="284" t="s">
        <v>606</v>
      </c>
      <c r="C90" s="128"/>
      <c r="D90" s="128"/>
      <c r="E90" s="128"/>
      <c r="F90" s="128"/>
      <c r="G90" s="128"/>
      <c r="H90" s="128"/>
      <c r="I90" s="128"/>
      <c r="J90" s="128"/>
      <c r="K90" s="129"/>
      <c r="L90" s="58"/>
      <c r="M90" s="344" t="s">
        <v>950</v>
      </c>
      <c r="N90" s="347"/>
      <c r="O90" s="347"/>
      <c r="P90" s="347"/>
      <c r="Q90" s="347"/>
      <c r="R90" s="347"/>
      <c r="S90" s="347"/>
      <c r="T90" s="347"/>
      <c r="U90" s="347"/>
      <c r="V90" s="347"/>
      <c r="W90" s="348"/>
      <c r="X90" s="58"/>
      <c r="Y90" s="58"/>
      <c r="Z90" s="58"/>
    </row>
    <row r="91" spans="1:26" ht="13.5">
      <c r="A91" s="58"/>
      <c r="B91" s="284" t="s">
        <v>930</v>
      </c>
      <c r="C91" s="128"/>
      <c r="D91" s="128"/>
      <c r="E91" s="128"/>
      <c r="F91" s="128"/>
      <c r="G91" s="128"/>
      <c r="H91" s="128"/>
      <c r="I91" s="128"/>
      <c r="J91" s="128"/>
      <c r="K91" s="129"/>
      <c r="L91" s="58"/>
      <c r="M91" s="344" t="s">
        <v>890</v>
      </c>
      <c r="N91" s="345"/>
      <c r="O91" s="345"/>
      <c r="P91" s="345"/>
      <c r="Q91" s="345"/>
      <c r="R91" s="345"/>
      <c r="S91" s="345"/>
      <c r="T91" s="347"/>
      <c r="U91" s="347"/>
      <c r="V91" s="347"/>
      <c r="W91" s="348"/>
      <c r="X91" s="58"/>
      <c r="Y91" s="58"/>
      <c r="Z91" s="58"/>
    </row>
    <row r="92" spans="1:26" ht="14.25" thickBot="1">
      <c r="A92" s="58"/>
      <c r="B92" s="284" t="s">
        <v>929</v>
      </c>
      <c r="C92" s="128"/>
      <c r="D92" s="128"/>
      <c r="E92" s="128"/>
      <c r="F92" s="128"/>
      <c r="G92" s="128"/>
      <c r="H92" s="128"/>
      <c r="I92" s="128"/>
      <c r="J92" s="128"/>
      <c r="K92" s="129"/>
      <c r="L92" s="58"/>
      <c r="M92" s="367" t="s">
        <v>378</v>
      </c>
      <c r="N92" s="363"/>
      <c r="O92" s="363"/>
      <c r="P92" s="363"/>
      <c r="Q92" s="363"/>
      <c r="R92" s="363"/>
      <c r="S92" s="363"/>
      <c r="T92" s="356"/>
      <c r="U92" s="356"/>
      <c r="V92" s="356"/>
      <c r="W92" s="357"/>
      <c r="X92" s="58"/>
      <c r="Y92" s="58"/>
      <c r="Z92" s="58"/>
    </row>
    <row r="93" spans="1:26" ht="14.25" thickBot="1">
      <c r="A93" s="58"/>
      <c r="B93" s="284" t="s">
        <v>568</v>
      </c>
      <c r="C93" s="128"/>
      <c r="D93" s="128"/>
      <c r="E93" s="128"/>
      <c r="F93" s="128"/>
      <c r="G93" s="128"/>
      <c r="H93" s="128"/>
      <c r="I93" s="128"/>
      <c r="J93" s="128"/>
      <c r="K93" s="129"/>
      <c r="L93" s="58"/>
      <c r="M93" s="1675" t="s">
        <v>1195</v>
      </c>
      <c r="N93" s="1676"/>
      <c r="O93" s="1676"/>
      <c r="P93" s="1676"/>
      <c r="Q93" s="1676"/>
      <c r="R93" s="1676"/>
      <c r="S93" s="1676"/>
      <c r="T93" s="1676"/>
      <c r="U93" s="1676"/>
      <c r="V93" s="1676"/>
      <c r="W93" s="1677"/>
      <c r="X93" s="58"/>
      <c r="Y93" s="58"/>
      <c r="Z93" s="58"/>
    </row>
    <row r="94" spans="1:26" ht="14.25" thickBot="1">
      <c r="A94" s="58"/>
      <c r="B94" s="284"/>
      <c r="C94" s="128"/>
      <c r="D94" s="128"/>
      <c r="E94" s="128"/>
      <c r="F94" s="128"/>
      <c r="G94" s="128"/>
      <c r="H94" s="128"/>
      <c r="I94" s="128"/>
      <c r="J94" s="128"/>
      <c r="K94" s="129"/>
      <c r="L94" s="58"/>
      <c r="M94" s="1678">
        <v>999999</v>
      </c>
      <c r="N94" s="1679"/>
      <c r="O94" s="1679"/>
      <c r="P94" s="1679"/>
      <c r="Q94" s="1679"/>
      <c r="R94" s="1679"/>
      <c r="S94" s="1679"/>
      <c r="T94" s="1679"/>
      <c r="U94" s="1679"/>
      <c r="V94" s="1679"/>
      <c r="W94" s="1680"/>
      <c r="X94" s="58"/>
      <c r="Y94" s="58"/>
      <c r="Z94" s="58"/>
    </row>
    <row r="95" spans="1:26" ht="13.5">
      <c r="A95" s="58"/>
      <c r="B95" s="284" t="s">
        <v>11</v>
      </c>
      <c r="C95" s="128"/>
      <c r="D95" s="128"/>
      <c r="E95" s="128"/>
      <c r="F95" s="128"/>
      <c r="G95" s="128"/>
      <c r="H95" s="128"/>
      <c r="I95" s="128"/>
      <c r="J95" s="128"/>
      <c r="K95" s="129"/>
      <c r="L95" s="58"/>
      <c r="X95" s="58"/>
      <c r="Y95" s="58"/>
      <c r="Z95" s="58"/>
    </row>
    <row r="96" spans="1:26" ht="13.5">
      <c r="A96" s="58"/>
      <c r="B96" s="340" t="s">
        <v>12</v>
      </c>
      <c r="C96" s="128"/>
      <c r="D96" s="128" t="s">
        <v>566</v>
      </c>
      <c r="E96" s="128"/>
      <c r="F96" s="128"/>
      <c r="G96" s="128"/>
      <c r="H96" s="128"/>
      <c r="I96" s="128"/>
      <c r="J96" s="128"/>
      <c r="K96" s="129"/>
      <c r="L96" s="58"/>
      <c r="X96" s="58"/>
      <c r="Y96" s="58"/>
      <c r="Z96" s="58"/>
    </row>
    <row r="97" spans="1:26" ht="13.5">
      <c r="A97" s="58"/>
      <c r="B97" s="284" t="s">
        <v>13</v>
      </c>
      <c r="C97" s="372"/>
      <c r="D97" s="372"/>
      <c r="E97" s="372"/>
      <c r="F97" s="372"/>
      <c r="G97" s="372"/>
      <c r="H97" s="372"/>
      <c r="I97" s="372"/>
      <c r="J97" s="372"/>
      <c r="K97" s="513"/>
      <c r="L97" s="58"/>
      <c r="X97" s="58"/>
      <c r="Y97" s="58"/>
      <c r="Z97" s="58"/>
    </row>
    <row r="98" spans="1:26" ht="13.5">
      <c r="A98" s="58"/>
      <c r="B98" s="284" t="s">
        <v>14</v>
      </c>
      <c r="C98" s="372"/>
      <c r="D98" s="372"/>
      <c r="E98" s="372"/>
      <c r="F98" s="372"/>
      <c r="G98" s="372"/>
      <c r="H98" s="372"/>
      <c r="I98" s="372"/>
      <c r="J98" s="372"/>
      <c r="K98" s="513"/>
      <c r="L98" s="58"/>
      <c r="X98" s="58"/>
      <c r="Y98" s="58"/>
      <c r="Z98" s="58"/>
    </row>
    <row r="99" spans="1:26" ht="13.5">
      <c r="A99" s="58"/>
      <c r="B99" s="284" t="s">
        <v>15</v>
      </c>
      <c r="C99" s="372"/>
      <c r="D99" s="372"/>
      <c r="E99" s="372"/>
      <c r="F99" s="372"/>
      <c r="G99" s="372"/>
      <c r="H99" s="372"/>
      <c r="I99" s="372"/>
      <c r="J99" s="372"/>
      <c r="K99" s="513"/>
      <c r="L99" s="58"/>
      <c r="X99" s="58"/>
      <c r="Y99" s="58"/>
      <c r="Z99" s="58"/>
    </row>
    <row r="100" spans="1:26" ht="13.5">
      <c r="A100" s="58"/>
      <c r="B100" s="284" t="s">
        <v>568</v>
      </c>
      <c r="C100" s="372"/>
      <c r="D100" s="372"/>
      <c r="E100" s="372"/>
      <c r="F100" s="372"/>
      <c r="G100" s="372"/>
      <c r="H100" s="372"/>
      <c r="I100" s="372"/>
      <c r="J100" s="372"/>
      <c r="K100" s="513"/>
      <c r="L100" s="58"/>
      <c r="X100" s="58"/>
      <c r="Y100" s="58"/>
      <c r="Z100" s="58"/>
    </row>
    <row r="101" spans="1:26" ht="13.5">
      <c r="A101" s="58"/>
      <c r="B101" s="284"/>
      <c r="C101" s="372"/>
      <c r="D101" s="372"/>
      <c r="E101" s="372"/>
      <c r="F101" s="372"/>
      <c r="G101" s="372"/>
      <c r="H101" s="372"/>
      <c r="I101" s="372"/>
      <c r="J101" s="372"/>
      <c r="K101" s="513"/>
      <c r="L101" s="58"/>
      <c r="X101" s="58"/>
      <c r="Y101" s="58"/>
      <c r="Z101" s="58"/>
    </row>
    <row r="102" spans="1:26" ht="13.5">
      <c r="A102" s="58"/>
      <c r="B102" s="284" t="s">
        <v>564</v>
      </c>
      <c r="C102" s="128"/>
      <c r="D102" s="128"/>
      <c r="E102" s="128"/>
      <c r="F102" s="128"/>
      <c r="G102" s="128"/>
      <c r="H102" s="128"/>
      <c r="I102" s="128"/>
      <c r="J102" s="128"/>
      <c r="K102" s="129"/>
      <c r="L102" s="58"/>
      <c r="X102" s="58"/>
      <c r="Y102" s="58"/>
      <c r="Z102" s="58"/>
    </row>
    <row r="103" spans="1:26" ht="13.5">
      <c r="A103" s="58"/>
      <c r="B103" s="340" t="s">
        <v>565</v>
      </c>
      <c r="C103" s="128"/>
      <c r="D103" s="128" t="s">
        <v>566</v>
      </c>
      <c r="E103" s="128"/>
      <c r="F103" s="128"/>
      <c r="G103" s="128"/>
      <c r="H103" s="128"/>
      <c r="I103" s="128"/>
      <c r="J103" s="128"/>
      <c r="K103" s="129"/>
      <c r="L103" s="58"/>
      <c r="X103" s="58"/>
      <c r="Y103" s="58"/>
      <c r="Z103" s="58"/>
    </row>
    <row r="104" spans="1:26" ht="13.5">
      <c r="A104" s="58"/>
      <c r="B104" s="284" t="s">
        <v>569</v>
      </c>
      <c r="C104" s="372"/>
      <c r="D104" s="372"/>
      <c r="E104" s="372"/>
      <c r="F104" s="372"/>
      <c r="G104" s="372"/>
      <c r="H104" s="372"/>
      <c r="I104" s="372"/>
      <c r="J104" s="372"/>
      <c r="K104" s="513"/>
      <c r="L104" s="58"/>
      <c r="X104" s="58"/>
      <c r="Y104" s="58"/>
      <c r="Z104" s="58"/>
    </row>
    <row r="105" spans="1:26" ht="13.5">
      <c r="A105" s="58"/>
      <c r="B105" s="284" t="s">
        <v>567</v>
      </c>
      <c r="C105" s="372"/>
      <c r="D105" s="372"/>
      <c r="E105" s="372"/>
      <c r="F105" s="372"/>
      <c r="G105" s="372"/>
      <c r="H105" s="372"/>
      <c r="I105" s="372"/>
      <c r="J105" s="372"/>
      <c r="K105" s="513"/>
      <c r="L105" s="58"/>
      <c r="X105" s="58"/>
      <c r="Y105" s="58"/>
      <c r="Z105" s="58"/>
    </row>
    <row r="106" spans="1:26" ht="13.5">
      <c r="A106" s="58"/>
      <c r="B106" s="284" t="s">
        <v>570</v>
      </c>
      <c r="C106" s="372"/>
      <c r="D106" s="372"/>
      <c r="E106" s="372"/>
      <c r="F106" s="372"/>
      <c r="G106" s="372"/>
      <c r="H106" s="372"/>
      <c r="I106" s="372"/>
      <c r="J106" s="372"/>
      <c r="K106" s="513"/>
      <c r="L106" s="58"/>
      <c r="X106" s="58"/>
      <c r="Y106" s="58"/>
      <c r="Z106" s="58"/>
    </row>
    <row r="107" spans="1:26" ht="13.5">
      <c r="A107" s="58"/>
      <c r="B107" s="284" t="s">
        <v>568</v>
      </c>
      <c r="C107" s="372"/>
      <c r="D107" s="372"/>
      <c r="E107" s="372"/>
      <c r="F107" s="372"/>
      <c r="G107" s="372"/>
      <c r="H107" s="372"/>
      <c r="I107" s="372"/>
      <c r="J107" s="372"/>
      <c r="K107" s="513"/>
      <c r="L107" s="58"/>
      <c r="X107" s="58"/>
      <c r="Y107" s="58"/>
      <c r="Z107" s="58"/>
    </row>
    <row r="108" spans="1:26" ht="13.5">
      <c r="A108" s="58"/>
      <c r="B108" s="284"/>
      <c r="C108" s="372"/>
      <c r="D108" s="372"/>
      <c r="E108" s="372"/>
      <c r="F108" s="372"/>
      <c r="G108" s="372"/>
      <c r="H108" s="372"/>
      <c r="I108" s="372"/>
      <c r="J108" s="372"/>
      <c r="K108" s="513"/>
      <c r="L108" s="58"/>
      <c r="X108" s="58"/>
      <c r="Y108" s="58"/>
      <c r="Z108" s="58"/>
    </row>
    <row r="109" spans="1:26" ht="13.5">
      <c r="A109" s="58"/>
      <c r="B109" s="284" t="s">
        <v>25</v>
      </c>
      <c r="C109" s="128"/>
      <c r="D109" s="128"/>
      <c r="E109" s="128"/>
      <c r="F109" s="128"/>
      <c r="G109" s="128"/>
      <c r="H109" s="128"/>
      <c r="I109" s="128"/>
      <c r="J109" s="128"/>
      <c r="K109" s="129"/>
      <c r="L109" s="58"/>
      <c r="X109" s="58"/>
      <c r="Y109" s="58"/>
      <c r="Z109" s="58"/>
    </row>
    <row r="110" spans="1:26" ht="13.5">
      <c r="A110" s="58"/>
      <c r="B110" s="340" t="s">
        <v>24</v>
      </c>
      <c r="C110" s="128"/>
      <c r="D110" s="128" t="s">
        <v>519</v>
      </c>
      <c r="E110" s="128"/>
      <c r="F110" s="128"/>
      <c r="G110" s="128"/>
      <c r="H110" s="128"/>
      <c r="I110" s="128"/>
      <c r="J110" s="128"/>
      <c r="K110" s="129"/>
      <c r="L110" s="58"/>
      <c r="X110" s="58"/>
      <c r="Y110" s="58"/>
      <c r="Z110" s="58"/>
    </row>
    <row r="111" spans="1:26" ht="13.5">
      <c r="A111" s="58"/>
      <c r="B111" s="284" t="s">
        <v>26</v>
      </c>
      <c r="C111" s="128"/>
      <c r="D111" s="128"/>
      <c r="E111" s="128"/>
      <c r="F111" s="128"/>
      <c r="G111" s="128"/>
      <c r="H111" s="128"/>
      <c r="I111" s="128"/>
      <c r="J111" s="128"/>
      <c r="K111" s="129"/>
      <c r="L111" s="58"/>
      <c r="X111" s="58"/>
      <c r="Y111" s="58"/>
      <c r="Z111" s="58"/>
    </row>
    <row r="112" spans="1:26" ht="13.5">
      <c r="A112" s="58"/>
      <c r="B112" s="284" t="s">
        <v>28</v>
      </c>
      <c r="C112" s="128"/>
      <c r="D112" s="128"/>
      <c r="E112" s="128"/>
      <c r="F112" s="128"/>
      <c r="G112" s="128"/>
      <c r="H112" s="128"/>
      <c r="I112" s="128"/>
      <c r="J112" s="128"/>
      <c r="K112" s="129"/>
      <c r="L112" s="58"/>
      <c r="X112" s="58"/>
      <c r="Y112" s="58"/>
      <c r="Z112" s="58"/>
    </row>
    <row r="113" spans="1:26" ht="13.5">
      <c r="A113" s="58"/>
      <c r="B113" s="284" t="s">
        <v>27</v>
      </c>
      <c r="C113" s="128"/>
      <c r="D113" s="128"/>
      <c r="E113" s="128"/>
      <c r="F113" s="128"/>
      <c r="G113" s="128"/>
      <c r="H113" s="128"/>
      <c r="I113" s="128"/>
      <c r="J113" s="128"/>
      <c r="K113" s="129"/>
      <c r="L113" s="58"/>
      <c r="X113" s="58"/>
      <c r="Y113" s="58"/>
      <c r="Z113" s="58"/>
    </row>
    <row r="114" spans="1:26" ht="13.5">
      <c r="A114" s="58"/>
      <c r="B114" s="284"/>
      <c r="C114" s="128"/>
      <c r="D114" s="128"/>
      <c r="E114" s="128"/>
      <c r="F114" s="128"/>
      <c r="G114" s="128"/>
      <c r="H114" s="128"/>
      <c r="I114" s="128"/>
      <c r="J114" s="128"/>
      <c r="K114" s="129"/>
      <c r="L114" s="58"/>
      <c r="X114" s="58"/>
      <c r="Y114" s="58"/>
      <c r="Z114" s="58"/>
    </row>
    <row r="115" spans="1:26" ht="13.5">
      <c r="A115" s="58"/>
      <c r="B115" s="284" t="s">
        <v>370</v>
      </c>
      <c r="C115" s="128"/>
      <c r="D115" s="128"/>
      <c r="E115" s="128"/>
      <c r="F115" s="128"/>
      <c r="G115" s="128"/>
      <c r="H115" s="128"/>
      <c r="I115" s="128"/>
      <c r="J115" s="128"/>
      <c r="K115" s="129"/>
      <c r="L115" s="58"/>
      <c r="X115" s="58"/>
      <c r="Y115" s="58"/>
      <c r="Z115" s="58"/>
    </row>
    <row r="116" spans="1:26" ht="13.5">
      <c r="A116" s="58"/>
      <c r="B116" s="340" t="s">
        <v>374</v>
      </c>
      <c r="C116" s="128"/>
      <c r="D116" s="128" t="s">
        <v>519</v>
      </c>
      <c r="E116" s="128"/>
      <c r="F116" s="128"/>
      <c r="G116" s="128"/>
      <c r="H116" s="128"/>
      <c r="I116" s="128"/>
      <c r="J116" s="128"/>
      <c r="K116" s="129"/>
      <c r="L116" s="58"/>
      <c r="X116" s="58"/>
      <c r="Y116" s="58"/>
      <c r="Z116" s="58"/>
    </row>
    <row r="117" spans="1:26" ht="13.5">
      <c r="A117" s="58"/>
      <c r="B117" s="340" t="s">
        <v>372</v>
      </c>
      <c r="C117" s="128"/>
      <c r="D117" s="128"/>
      <c r="E117" s="128"/>
      <c r="F117" s="128"/>
      <c r="G117" s="128"/>
      <c r="H117" s="128"/>
      <c r="I117" s="128"/>
      <c r="J117" s="128"/>
      <c r="K117" s="129"/>
      <c r="L117" s="58"/>
      <c r="X117" s="58"/>
      <c r="Y117" s="58"/>
      <c r="Z117" s="58"/>
    </row>
    <row r="118" spans="1:26" ht="13.5">
      <c r="A118" s="58"/>
      <c r="B118" s="284" t="s">
        <v>371</v>
      </c>
      <c r="C118" s="128"/>
      <c r="D118" s="128"/>
      <c r="E118" s="128"/>
      <c r="F118" s="128"/>
      <c r="G118" s="128"/>
      <c r="H118" s="128"/>
      <c r="I118" s="128"/>
      <c r="J118" s="128"/>
      <c r="K118" s="129"/>
      <c r="L118" s="58"/>
      <c r="X118" s="58"/>
      <c r="Y118" s="58"/>
      <c r="Z118" s="58"/>
    </row>
    <row r="119" spans="1:26" ht="13.5">
      <c r="A119" s="58"/>
      <c r="B119" s="284" t="s">
        <v>373</v>
      </c>
      <c r="C119" s="128"/>
      <c r="D119" s="128"/>
      <c r="E119" s="128"/>
      <c r="F119" s="128"/>
      <c r="G119" s="128"/>
      <c r="H119" s="128"/>
      <c r="I119" s="128"/>
      <c r="J119" s="128"/>
      <c r="K119" s="129"/>
      <c r="L119" s="58"/>
      <c r="X119" s="58"/>
      <c r="Y119" s="58"/>
      <c r="Z119" s="58"/>
    </row>
    <row r="120" spans="1:26" ht="13.5">
      <c r="A120" s="58"/>
      <c r="B120" s="340"/>
      <c r="C120" s="128"/>
      <c r="D120" s="128"/>
      <c r="E120" s="128"/>
      <c r="F120" s="128"/>
      <c r="G120" s="128"/>
      <c r="H120" s="128"/>
      <c r="I120" s="128"/>
      <c r="J120" s="128"/>
      <c r="K120" s="129"/>
      <c r="L120" s="58"/>
      <c r="X120" s="58"/>
      <c r="Y120" s="58"/>
      <c r="Z120" s="58"/>
    </row>
    <row r="121" spans="1:26" ht="13.5">
      <c r="A121" s="58"/>
      <c r="B121" s="284" t="s">
        <v>512</v>
      </c>
      <c r="C121" s="128"/>
      <c r="D121" s="128"/>
      <c r="E121" s="128"/>
      <c r="F121" s="128"/>
      <c r="G121" s="128"/>
      <c r="H121" s="128"/>
      <c r="I121" s="128"/>
      <c r="J121" s="128"/>
      <c r="K121" s="129"/>
      <c r="L121" s="58"/>
      <c r="X121" s="58"/>
      <c r="Y121" s="58"/>
      <c r="Z121" s="58"/>
    </row>
    <row r="122" spans="1:26" ht="13.5">
      <c r="A122" s="58"/>
      <c r="B122" s="340" t="s">
        <v>513</v>
      </c>
      <c r="C122" s="128"/>
      <c r="D122" s="128" t="s">
        <v>519</v>
      </c>
      <c r="E122" s="128"/>
      <c r="F122" s="128"/>
      <c r="G122" s="128"/>
      <c r="H122" s="128"/>
      <c r="I122" s="128"/>
      <c r="J122" s="128"/>
      <c r="K122" s="129"/>
      <c r="L122" s="58"/>
      <c r="X122" s="58"/>
      <c r="Y122" s="58"/>
      <c r="Z122" s="58"/>
    </row>
    <row r="123" spans="1:26" ht="13.5">
      <c r="A123" s="58"/>
      <c r="B123" s="284" t="s">
        <v>514</v>
      </c>
      <c r="C123" s="372"/>
      <c r="D123" s="372"/>
      <c r="E123" s="372"/>
      <c r="F123" s="372"/>
      <c r="G123" s="372"/>
      <c r="H123" s="372"/>
      <c r="I123" s="372"/>
      <c r="J123" s="128"/>
      <c r="K123" s="129"/>
      <c r="L123" s="58"/>
      <c r="X123" s="58"/>
      <c r="Y123" s="58"/>
      <c r="Z123" s="58"/>
    </row>
    <row r="124" spans="1:26" ht="13.5">
      <c r="A124" s="58"/>
      <c r="B124" s="284" t="s">
        <v>515</v>
      </c>
      <c r="C124" s="372"/>
      <c r="D124" s="372"/>
      <c r="E124" s="372"/>
      <c r="F124" s="372"/>
      <c r="G124" s="372"/>
      <c r="H124" s="372"/>
      <c r="I124" s="372"/>
      <c r="J124" s="128"/>
      <c r="K124" s="129"/>
      <c r="L124" s="58"/>
      <c r="X124" s="58"/>
      <c r="Y124" s="58"/>
      <c r="Z124" s="58"/>
    </row>
    <row r="125" spans="1:26" ht="13.5">
      <c r="A125" s="58"/>
      <c r="B125" s="284" t="s">
        <v>516</v>
      </c>
      <c r="C125" s="372"/>
      <c r="D125" s="372"/>
      <c r="E125" s="372"/>
      <c r="F125" s="372"/>
      <c r="G125" s="372"/>
      <c r="H125" s="372"/>
      <c r="I125" s="372"/>
      <c r="J125" s="128"/>
      <c r="K125" s="129"/>
      <c r="L125" s="58"/>
      <c r="X125" s="58"/>
      <c r="Y125" s="58"/>
      <c r="Z125" s="58"/>
    </row>
    <row r="126" spans="1:26" ht="13.5">
      <c r="A126" s="58"/>
      <c r="B126" s="284" t="s">
        <v>517</v>
      </c>
      <c r="C126" s="372"/>
      <c r="D126" s="372"/>
      <c r="E126" s="372"/>
      <c r="F126" s="372"/>
      <c r="G126" s="372"/>
      <c r="H126" s="372"/>
      <c r="I126" s="372"/>
      <c r="J126" s="128"/>
      <c r="K126" s="129"/>
      <c r="L126" s="58"/>
      <c r="X126" s="58"/>
      <c r="Y126" s="58"/>
      <c r="Z126" s="58"/>
    </row>
    <row r="127" spans="1:26" ht="13.5">
      <c r="A127" s="58"/>
      <c r="B127" s="284" t="s">
        <v>518</v>
      </c>
      <c r="C127" s="372"/>
      <c r="D127" s="372"/>
      <c r="E127" s="372"/>
      <c r="F127" s="372"/>
      <c r="G127" s="372"/>
      <c r="H127" s="372"/>
      <c r="I127" s="372"/>
      <c r="J127" s="128"/>
      <c r="K127" s="129"/>
      <c r="L127" s="58"/>
      <c r="X127" s="58"/>
      <c r="Y127" s="58"/>
      <c r="Z127" s="58"/>
    </row>
    <row r="128" spans="1:26" ht="13.5">
      <c r="A128" s="58"/>
      <c r="B128" s="284" t="s">
        <v>521</v>
      </c>
      <c r="C128" s="372"/>
      <c r="D128" s="372"/>
      <c r="E128" s="372"/>
      <c r="F128" s="372"/>
      <c r="G128" s="372"/>
      <c r="H128" s="372"/>
      <c r="I128" s="372"/>
      <c r="J128" s="128"/>
      <c r="K128" s="129"/>
      <c r="L128" s="58"/>
      <c r="X128" s="58"/>
      <c r="Y128" s="58"/>
      <c r="Z128" s="58"/>
    </row>
    <row r="129" spans="1:26" ht="13.5">
      <c r="A129" s="58"/>
      <c r="B129" s="284"/>
      <c r="C129" s="372"/>
      <c r="D129" s="372"/>
      <c r="E129" s="372"/>
      <c r="F129" s="372"/>
      <c r="G129" s="372"/>
      <c r="H129" s="372"/>
      <c r="I129" s="372"/>
      <c r="J129" s="128"/>
      <c r="K129" s="129"/>
      <c r="L129" s="58"/>
      <c r="X129" s="58"/>
      <c r="Y129" s="58"/>
      <c r="Z129" s="58"/>
    </row>
    <row r="130" spans="1:26" ht="13.5">
      <c r="A130" s="58"/>
      <c r="B130" s="284" t="s">
        <v>668</v>
      </c>
      <c r="C130" s="128"/>
      <c r="D130" s="128"/>
      <c r="E130" s="128"/>
      <c r="F130" s="128"/>
      <c r="G130" s="128"/>
      <c r="H130" s="128"/>
      <c r="I130" s="128"/>
      <c r="J130" s="128"/>
      <c r="K130" s="129"/>
      <c r="L130" s="58"/>
      <c r="X130" s="58"/>
      <c r="Y130" s="58"/>
      <c r="Z130" s="58"/>
    </row>
    <row r="131" spans="1:26" ht="13.5">
      <c r="A131" s="58"/>
      <c r="B131" s="340" t="s">
        <v>941</v>
      </c>
      <c r="C131" s="128"/>
      <c r="D131" s="128" t="s">
        <v>948</v>
      </c>
      <c r="E131" s="128"/>
      <c r="F131" s="128"/>
      <c r="G131" s="128"/>
      <c r="H131" s="128"/>
      <c r="I131" s="128"/>
      <c r="J131" s="128"/>
      <c r="K131" s="129"/>
      <c r="L131" s="58"/>
      <c r="X131" s="58"/>
      <c r="Y131" s="58"/>
      <c r="Z131" s="58"/>
    </row>
    <row r="132" spans="1:26" ht="13.5">
      <c r="A132" s="58"/>
      <c r="B132" s="284" t="s">
        <v>942</v>
      </c>
      <c r="C132" s="372"/>
      <c r="D132" s="372"/>
      <c r="E132" s="372"/>
      <c r="F132" s="372"/>
      <c r="G132" s="372"/>
      <c r="H132" s="372"/>
      <c r="I132" s="372"/>
      <c r="J132" s="372"/>
      <c r="K132" s="513"/>
      <c r="L132" s="58"/>
      <c r="X132" s="58"/>
      <c r="Y132" s="58"/>
      <c r="Z132" s="58"/>
    </row>
    <row r="133" spans="1:26" ht="13.5">
      <c r="A133" s="58"/>
      <c r="B133" s="284" t="s">
        <v>945</v>
      </c>
      <c r="C133" s="372"/>
      <c r="D133" s="372"/>
      <c r="E133" s="372"/>
      <c r="F133" s="372"/>
      <c r="G133" s="372"/>
      <c r="H133" s="372"/>
      <c r="I133" s="372"/>
      <c r="J133" s="372"/>
      <c r="K133" s="513"/>
      <c r="L133" s="58"/>
      <c r="X133" s="58"/>
      <c r="Y133" s="58"/>
      <c r="Z133" s="58"/>
    </row>
    <row r="134" spans="1:26" ht="13.5">
      <c r="A134" s="58"/>
      <c r="B134" s="284" t="s">
        <v>946</v>
      </c>
      <c r="C134" s="372"/>
      <c r="D134" s="372"/>
      <c r="E134" s="372"/>
      <c r="F134" s="372"/>
      <c r="G134" s="372"/>
      <c r="H134" s="372"/>
      <c r="I134" s="372"/>
      <c r="J134" s="372"/>
      <c r="K134" s="513"/>
      <c r="L134" s="58"/>
      <c r="X134" s="58"/>
      <c r="Y134" s="58"/>
      <c r="Z134" s="58"/>
    </row>
    <row r="135" spans="1:26" ht="13.5">
      <c r="A135" s="58"/>
      <c r="B135" s="284" t="s">
        <v>947</v>
      </c>
      <c r="C135" s="372"/>
      <c r="D135" s="372"/>
      <c r="E135" s="372"/>
      <c r="F135" s="372"/>
      <c r="G135" s="372"/>
      <c r="H135" s="372"/>
      <c r="I135" s="372"/>
      <c r="J135" s="372"/>
      <c r="K135" s="513"/>
      <c r="L135" s="58"/>
      <c r="X135" s="58"/>
      <c r="Y135" s="58"/>
      <c r="Z135" s="58"/>
    </row>
    <row r="136" spans="1:26" ht="13.5">
      <c r="A136" s="58"/>
      <c r="B136" s="284"/>
      <c r="C136" s="372"/>
      <c r="D136" s="372"/>
      <c r="E136" s="372"/>
      <c r="F136" s="372"/>
      <c r="G136" s="372"/>
      <c r="H136" s="372"/>
      <c r="I136" s="372"/>
      <c r="J136" s="372"/>
      <c r="K136" s="513"/>
      <c r="L136" s="58"/>
      <c r="X136" s="58"/>
      <c r="Y136" s="58"/>
      <c r="Z136" s="58"/>
    </row>
    <row r="137" spans="1:26" ht="13.5">
      <c r="A137" s="58"/>
      <c r="B137" s="284" t="s">
        <v>477</v>
      </c>
      <c r="C137" s="128"/>
      <c r="D137" s="128"/>
      <c r="E137" s="128"/>
      <c r="F137" s="128"/>
      <c r="G137" s="128"/>
      <c r="H137" s="128"/>
      <c r="I137" s="128"/>
      <c r="J137" s="128"/>
      <c r="K137" s="129"/>
      <c r="L137" s="58"/>
      <c r="X137" s="58"/>
      <c r="Y137" s="58"/>
      <c r="Z137" s="58"/>
    </row>
    <row r="138" spans="1:26" ht="13.5">
      <c r="A138" s="58"/>
      <c r="B138" s="134" t="s">
        <v>478</v>
      </c>
      <c r="C138" s="128"/>
      <c r="D138" s="128" t="s">
        <v>479</v>
      </c>
      <c r="E138" s="128"/>
      <c r="F138" s="128"/>
      <c r="G138" s="128"/>
      <c r="H138" s="128"/>
      <c r="I138" s="128"/>
      <c r="J138" s="128"/>
      <c r="K138" s="129"/>
      <c r="L138" s="58"/>
      <c r="X138" s="58"/>
      <c r="Y138" s="58"/>
      <c r="Z138" s="58"/>
    </row>
    <row r="139" spans="1:26" ht="13.5">
      <c r="A139" s="58"/>
      <c r="B139" s="284" t="s">
        <v>480</v>
      </c>
      <c r="C139" s="339"/>
      <c r="D139" s="339"/>
      <c r="E139" s="339"/>
      <c r="F139" s="339"/>
      <c r="G139" s="339"/>
      <c r="H139" s="128"/>
      <c r="I139" s="128"/>
      <c r="J139" s="128"/>
      <c r="K139" s="129"/>
      <c r="L139" s="58"/>
      <c r="X139" s="58"/>
      <c r="Y139" s="58"/>
      <c r="Z139" s="58"/>
    </row>
    <row r="140" spans="1:26" ht="13.5">
      <c r="A140" s="58"/>
      <c r="B140" s="284" t="s">
        <v>482</v>
      </c>
      <c r="C140" s="339"/>
      <c r="D140" s="339"/>
      <c r="E140" s="339"/>
      <c r="F140" s="339"/>
      <c r="G140" s="339"/>
      <c r="H140" s="128"/>
      <c r="I140" s="128"/>
      <c r="J140" s="128"/>
      <c r="K140" s="129"/>
      <c r="L140" s="58"/>
      <c r="X140" s="58"/>
      <c r="Y140" s="58"/>
      <c r="Z140" s="58"/>
    </row>
    <row r="141" spans="1:26" ht="13.5">
      <c r="A141" s="58"/>
      <c r="B141" s="284" t="s">
        <v>481</v>
      </c>
      <c r="C141" s="339"/>
      <c r="D141" s="339"/>
      <c r="E141" s="339"/>
      <c r="F141" s="339"/>
      <c r="G141" s="339"/>
      <c r="H141" s="128"/>
      <c r="I141" s="128"/>
      <c r="J141" s="128"/>
      <c r="K141" s="129"/>
      <c r="L141" s="58"/>
      <c r="X141" s="58"/>
      <c r="Y141" s="58"/>
      <c r="Z141" s="58"/>
    </row>
    <row r="142" spans="1:26" ht="13.5">
      <c r="A142" s="58"/>
      <c r="B142" s="284"/>
      <c r="C142" s="339"/>
      <c r="D142" s="339"/>
      <c r="E142" s="339"/>
      <c r="F142" s="339"/>
      <c r="G142" s="339"/>
      <c r="H142" s="128"/>
      <c r="I142" s="128"/>
      <c r="J142" s="128"/>
      <c r="K142" s="129"/>
      <c r="L142" s="58"/>
      <c r="X142" s="58"/>
      <c r="Y142" s="58"/>
      <c r="Z142" s="58"/>
    </row>
    <row r="143" spans="1:26" ht="13.5">
      <c r="A143" s="58"/>
      <c r="B143" s="284" t="s">
        <v>1159</v>
      </c>
      <c r="C143" s="128"/>
      <c r="D143" s="128"/>
      <c r="E143" s="128"/>
      <c r="F143" s="128"/>
      <c r="G143" s="128"/>
      <c r="H143" s="128"/>
      <c r="I143" s="128"/>
      <c r="J143" s="128"/>
      <c r="K143" s="129"/>
      <c r="L143" s="58"/>
      <c r="X143" s="58"/>
      <c r="Y143" s="58"/>
      <c r="Z143" s="58"/>
    </row>
    <row r="144" spans="1:26" ht="13.5">
      <c r="A144" s="58"/>
      <c r="B144" s="134" t="s">
        <v>18</v>
      </c>
      <c r="C144" s="128"/>
      <c r="D144" s="128" t="s">
        <v>1160</v>
      </c>
      <c r="E144" s="128"/>
      <c r="F144" s="128"/>
      <c r="G144" s="128"/>
      <c r="H144" s="128"/>
      <c r="I144" s="128"/>
      <c r="J144" s="128"/>
      <c r="K144" s="129"/>
      <c r="L144" s="58"/>
      <c r="X144" s="58"/>
      <c r="Y144" s="58"/>
      <c r="Z144" s="58"/>
    </row>
    <row r="145" spans="1:26" ht="13.5">
      <c r="A145" s="58"/>
      <c r="B145" s="284" t="s">
        <v>19</v>
      </c>
      <c r="C145" s="339"/>
      <c r="D145" s="128"/>
      <c r="E145" s="128"/>
      <c r="F145" s="128"/>
      <c r="G145" s="128"/>
      <c r="H145" s="128"/>
      <c r="I145" s="128"/>
      <c r="J145" s="128"/>
      <c r="K145" s="129"/>
      <c r="L145" s="58"/>
      <c r="X145" s="58"/>
      <c r="Y145" s="58"/>
      <c r="Z145" s="58"/>
    </row>
    <row r="146" spans="1:26" ht="13.5">
      <c r="A146" s="58"/>
      <c r="B146" s="284" t="s">
        <v>20</v>
      </c>
      <c r="C146" s="339"/>
      <c r="D146" s="128"/>
      <c r="E146" s="128"/>
      <c r="F146" s="128"/>
      <c r="G146" s="128"/>
      <c r="H146" s="128"/>
      <c r="I146" s="128"/>
      <c r="J146" s="128"/>
      <c r="K146" s="129"/>
      <c r="L146" s="58"/>
      <c r="X146" s="58"/>
      <c r="Y146" s="58"/>
      <c r="Z146" s="58"/>
    </row>
    <row r="147" spans="1:26" ht="13.5">
      <c r="A147" s="58"/>
      <c r="B147" s="134"/>
      <c r="C147" s="128"/>
      <c r="D147" s="128"/>
      <c r="E147" s="128"/>
      <c r="F147" s="128"/>
      <c r="G147" s="128"/>
      <c r="H147" s="128"/>
      <c r="I147" s="128"/>
      <c r="J147" s="128"/>
      <c r="K147" s="129"/>
      <c r="L147" s="58"/>
      <c r="X147" s="58"/>
      <c r="Y147" s="58"/>
      <c r="Z147" s="58"/>
    </row>
    <row r="148" spans="1:26" ht="13.5">
      <c r="A148" s="58"/>
      <c r="B148" s="284" t="s">
        <v>1069</v>
      </c>
      <c r="C148" s="128"/>
      <c r="D148" s="128"/>
      <c r="E148" s="128"/>
      <c r="F148" s="128"/>
      <c r="G148" s="128"/>
      <c r="H148" s="128"/>
      <c r="I148" s="128"/>
      <c r="J148" s="128"/>
      <c r="K148" s="129"/>
      <c r="L148" s="58"/>
      <c r="X148" s="58"/>
      <c r="Y148" s="58"/>
      <c r="Z148" s="58"/>
    </row>
    <row r="149" spans="1:26" ht="13.5">
      <c r="A149" s="58"/>
      <c r="B149" s="134" t="s">
        <v>295</v>
      </c>
      <c r="C149" s="128"/>
      <c r="D149" s="128" t="s">
        <v>296</v>
      </c>
      <c r="E149" s="128"/>
      <c r="F149" s="128"/>
      <c r="G149" s="128"/>
      <c r="H149" s="128"/>
      <c r="I149" s="128"/>
      <c r="J149" s="128"/>
      <c r="K149" s="129"/>
      <c r="L149" s="58"/>
      <c r="X149" s="58"/>
      <c r="Y149" s="58"/>
      <c r="Z149" s="58"/>
    </row>
    <row r="150" spans="1:26" ht="13.5">
      <c r="A150" s="58"/>
      <c r="B150" s="284" t="s">
        <v>297</v>
      </c>
      <c r="C150" s="339"/>
      <c r="D150" s="128"/>
      <c r="E150" s="128"/>
      <c r="F150" s="128"/>
      <c r="G150" s="128"/>
      <c r="H150" s="128"/>
      <c r="I150" s="128"/>
      <c r="J150" s="128"/>
      <c r="K150" s="129"/>
      <c r="L150" s="58"/>
      <c r="X150" s="58"/>
      <c r="Y150" s="58"/>
      <c r="Z150" s="58"/>
    </row>
    <row r="151" spans="1:26" ht="13.5">
      <c r="A151" s="58"/>
      <c r="B151" s="284" t="s">
        <v>298</v>
      </c>
      <c r="C151" s="339"/>
      <c r="D151" s="128"/>
      <c r="E151" s="128"/>
      <c r="F151" s="128"/>
      <c r="G151" s="128"/>
      <c r="H151" s="128"/>
      <c r="I151" s="128"/>
      <c r="J151" s="128"/>
      <c r="K151" s="129"/>
      <c r="L151" s="58"/>
      <c r="X151" s="58"/>
      <c r="Y151" s="58"/>
      <c r="Z151" s="58"/>
    </row>
    <row r="152" spans="1:26" ht="13.5">
      <c r="A152" s="58"/>
      <c r="B152" s="284" t="s">
        <v>299</v>
      </c>
      <c r="C152" s="339"/>
      <c r="D152" s="128"/>
      <c r="E152" s="128"/>
      <c r="F152" s="128"/>
      <c r="G152" s="128"/>
      <c r="H152" s="128"/>
      <c r="I152" s="128"/>
      <c r="J152" s="128"/>
      <c r="K152" s="129"/>
      <c r="L152" s="58"/>
      <c r="X152" s="58"/>
      <c r="Y152" s="58"/>
      <c r="Z152" s="58"/>
    </row>
    <row r="153" spans="1:26" ht="13.5">
      <c r="A153" s="58"/>
      <c r="B153" s="284" t="s">
        <v>300</v>
      </c>
      <c r="C153" s="339"/>
      <c r="D153" s="128"/>
      <c r="E153" s="128"/>
      <c r="F153" s="128"/>
      <c r="G153" s="128"/>
      <c r="H153" s="128"/>
      <c r="I153" s="128"/>
      <c r="J153" s="128"/>
      <c r="K153" s="129"/>
      <c r="L153" s="58"/>
      <c r="X153" s="58"/>
      <c r="Y153" s="58"/>
      <c r="Z153" s="58"/>
    </row>
    <row r="154" spans="1:26" ht="13.5">
      <c r="A154" s="58"/>
      <c r="B154" s="284"/>
      <c r="C154" s="339"/>
      <c r="D154" s="128"/>
      <c r="E154" s="128"/>
      <c r="F154" s="128"/>
      <c r="G154" s="128"/>
      <c r="H154" s="128"/>
      <c r="I154" s="128"/>
      <c r="J154" s="128"/>
      <c r="K154" s="129"/>
      <c r="L154" s="58"/>
      <c r="X154" s="58"/>
      <c r="Y154" s="58"/>
      <c r="Z154" s="58"/>
    </row>
    <row r="155" spans="1:26" ht="13.5">
      <c r="A155" s="58"/>
      <c r="B155" s="284" t="s">
        <v>1069</v>
      </c>
      <c r="C155" s="339"/>
      <c r="D155" s="339"/>
      <c r="E155" s="339"/>
      <c r="F155" s="339"/>
      <c r="G155" s="339"/>
      <c r="H155" s="339"/>
      <c r="I155" s="339"/>
      <c r="J155" s="339"/>
      <c r="K155" s="485"/>
      <c r="L155" s="58"/>
      <c r="X155" s="58"/>
      <c r="Y155" s="58"/>
      <c r="Z155" s="58"/>
    </row>
    <row r="156" spans="1:26" ht="13.5">
      <c r="A156" s="58"/>
      <c r="B156" s="134" t="s">
        <v>1070</v>
      </c>
      <c r="C156" s="339"/>
      <c r="D156" s="339"/>
      <c r="E156" s="339"/>
      <c r="F156" s="339"/>
      <c r="G156" s="339"/>
      <c r="H156" s="339"/>
      <c r="I156" s="339"/>
      <c r="J156" s="339"/>
      <c r="K156" s="485"/>
      <c r="L156" s="58"/>
      <c r="X156" s="58"/>
      <c r="Y156" s="58"/>
      <c r="Z156" s="58"/>
    </row>
    <row r="157" spans="1:26" ht="13.5">
      <c r="A157" s="58"/>
      <c r="B157" s="284" t="s">
        <v>1071</v>
      </c>
      <c r="C157" s="339"/>
      <c r="D157" s="339"/>
      <c r="E157" s="339"/>
      <c r="F157" s="339"/>
      <c r="G157" s="339"/>
      <c r="H157" s="339"/>
      <c r="I157" s="339"/>
      <c r="J157" s="339"/>
      <c r="K157" s="485"/>
      <c r="L157" s="58"/>
      <c r="X157" s="58"/>
      <c r="Y157" s="58"/>
      <c r="Z157" s="58"/>
    </row>
    <row r="158" spans="1:26" ht="13.5">
      <c r="A158" s="58"/>
      <c r="B158" s="284" t="s">
        <v>1072</v>
      </c>
      <c r="C158" s="339"/>
      <c r="D158" s="339"/>
      <c r="E158" s="339"/>
      <c r="F158" s="339"/>
      <c r="G158" s="339"/>
      <c r="H158" s="339"/>
      <c r="I158" s="339"/>
      <c r="J158" s="339"/>
      <c r="K158" s="485"/>
      <c r="L158" s="58"/>
      <c r="X158" s="58"/>
      <c r="Y158" s="58"/>
      <c r="Z158" s="58"/>
    </row>
    <row r="159" spans="1:26" ht="13.5">
      <c r="A159" s="58"/>
      <c r="B159" s="284" t="s">
        <v>1073</v>
      </c>
      <c r="C159" s="339"/>
      <c r="D159" s="339"/>
      <c r="E159" s="339"/>
      <c r="F159" s="339"/>
      <c r="G159" s="339"/>
      <c r="H159" s="339"/>
      <c r="I159" s="339"/>
      <c r="J159" s="339"/>
      <c r="K159" s="485"/>
      <c r="L159" s="58"/>
      <c r="X159" s="58"/>
      <c r="Y159" s="58"/>
      <c r="Z159" s="58"/>
    </row>
    <row r="160" spans="1:26" ht="13.5">
      <c r="A160" s="58"/>
      <c r="B160" s="284" t="s">
        <v>1074</v>
      </c>
      <c r="C160" s="339"/>
      <c r="D160" s="339"/>
      <c r="E160" s="339"/>
      <c r="F160" s="339"/>
      <c r="G160" s="339"/>
      <c r="H160" s="339"/>
      <c r="I160" s="339"/>
      <c r="J160" s="339"/>
      <c r="K160" s="485"/>
      <c r="L160" s="58"/>
      <c r="X160" s="58"/>
      <c r="Y160" s="58"/>
      <c r="Z160" s="58"/>
    </row>
    <row r="161" spans="1:26" ht="13.5">
      <c r="A161" s="58"/>
      <c r="B161" s="284"/>
      <c r="C161" s="339"/>
      <c r="D161" s="339"/>
      <c r="E161" s="339"/>
      <c r="F161" s="339"/>
      <c r="G161" s="339"/>
      <c r="H161" s="339"/>
      <c r="I161" s="339"/>
      <c r="J161" s="339"/>
      <c r="K161" s="485"/>
      <c r="L161" s="58"/>
      <c r="X161" s="58"/>
      <c r="Y161" s="58"/>
      <c r="Z161" s="58"/>
    </row>
    <row r="162" spans="1:26" ht="13.5">
      <c r="A162" s="58"/>
      <c r="B162" s="284" t="s">
        <v>9</v>
      </c>
      <c r="C162" s="128"/>
      <c r="D162" s="128"/>
      <c r="E162" s="128"/>
      <c r="F162" s="128"/>
      <c r="G162" s="128"/>
      <c r="H162" s="128"/>
      <c r="I162" s="128"/>
      <c r="J162" s="128"/>
      <c r="K162" s="129"/>
      <c r="L162" s="58"/>
      <c r="X162" s="58"/>
      <c r="Y162" s="58"/>
      <c r="Z162" s="58"/>
    </row>
    <row r="163" spans="1:26" ht="13.5">
      <c r="A163" s="58"/>
      <c r="B163" s="134" t="s">
        <v>10</v>
      </c>
      <c r="C163" s="128"/>
      <c r="D163" s="128" t="s">
        <v>7</v>
      </c>
      <c r="E163" s="128"/>
      <c r="F163" s="128"/>
      <c r="G163" s="128"/>
      <c r="H163" s="128"/>
      <c r="I163" s="128"/>
      <c r="J163" s="128"/>
      <c r="K163" s="129"/>
      <c r="L163" s="58"/>
      <c r="X163" s="58"/>
      <c r="Y163" s="58"/>
      <c r="Z163" s="58"/>
    </row>
    <row r="164" spans="1:26" ht="13.5">
      <c r="A164" s="58"/>
      <c r="B164" s="284" t="s">
        <v>16</v>
      </c>
      <c r="C164" s="128"/>
      <c r="D164" s="128"/>
      <c r="E164" s="128"/>
      <c r="F164" s="128"/>
      <c r="G164" s="128"/>
      <c r="H164" s="128"/>
      <c r="I164" s="128"/>
      <c r="J164" s="128"/>
      <c r="K164" s="129"/>
      <c r="L164" s="58"/>
      <c r="X164" s="58"/>
      <c r="Y164" s="58"/>
      <c r="Z164" s="58"/>
    </row>
    <row r="165" spans="1:26" ht="13.5">
      <c r="A165" s="58"/>
      <c r="B165" s="284" t="s">
        <v>21</v>
      </c>
      <c r="C165" s="339"/>
      <c r="D165" s="339"/>
      <c r="E165" s="339"/>
      <c r="F165" s="339"/>
      <c r="G165" s="339"/>
      <c r="H165" s="339"/>
      <c r="I165" s="339"/>
      <c r="J165" s="339"/>
      <c r="K165" s="129"/>
      <c r="L165" s="58"/>
      <c r="X165" s="58"/>
      <c r="Y165" s="58"/>
      <c r="Z165" s="58"/>
    </row>
    <row r="166" spans="1:26" ht="13.5">
      <c r="A166" s="58"/>
      <c r="B166" s="284" t="s">
        <v>22</v>
      </c>
      <c r="C166" s="339"/>
      <c r="D166" s="339"/>
      <c r="E166" s="339"/>
      <c r="F166" s="339"/>
      <c r="G166" s="339"/>
      <c r="H166" s="339"/>
      <c r="I166" s="339"/>
      <c r="J166" s="339"/>
      <c r="K166" s="129"/>
      <c r="L166" s="58"/>
      <c r="X166" s="58"/>
      <c r="Y166" s="58"/>
      <c r="Z166" s="58"/>
    </row>
    <row r="167" spans="1:26" ht="13.5">
      <c r="A167" s="58"/>
      <c r="B167" s="284" t="s">
        <v>6</v>
      </c>
      <c r="C167" s="339"/>
      <c r="D167" s="339"/>
      <c r="E167" s="339"/>
      <c r="F167" s="339"/>
      <c r="G167" s="339"/>
      <c r="H167" s="339"/>
      <c r="I167" s="339"/>
      <c r="J167" s="339"/>
      <c r="K167" s="129"/>
      <c r="L167" s="58"/>
      <c r="X167" s="58"/>
      <c r="Y167" s="58"/>
      <c r="Z167" s="58"/>
    </row>
    <row r="168" spans="1:26" ht="13.5">
      <c r="A168" s="58"/>
      <c r="B168" s="284"/>
      <c r="C168" s="339"/>
      <c r="D168" s="339"/>
      <c r="E168" s="339"/>
      <c r="F168" s="339"/>
      <c r="G168" s="339"/>
      <c r="H168" s="339"/>
      <c r="I168" s="339"/>
      <c r="J168" s="339"/>
      <c r="K168" s="129"/>
      <c r="L168" s="58"/>
      <c r="X168" s="58"/>
      <c r="Y168" s="58"/>
      <c r="Z168" s="58"/>
    </row>
    <row r="169" spans="1:26" ht="13.5">
      <c r="A169" s="58"/>
      <c r="B169" s="284" t="s">
        <v>34</v>
      </c>
      <c r="C169" s="128"/>
      <c r="D169" s="128"/>
      <c r="E169" s="128"/>
      <c r="F169" s="128"/>
      <c r="G169" s="128"/>
      <c r="H169" s="128"/>
      <c r="I169" s="128"/>
      <c r="J169" s="128"/>
      <c r="K169" s="129"/>
      <c r="L169" s="58"/>
      <c r="X169" s="58"/>
      <c r="Y169" s="58"/>
      <c r="Z169" s="58"/>
    </row>
    <row r="170" spans="1:26" ht="13.5">
      <c r="A170" s="58"/>
      <c r="B170" s="134" t="s">
        <v>1186</v>
      </c>
      <c r="C170" s="128"/>
      <c r="D170" s="128" t="s">
        <v>8</v>
      </c>
      <c r="E170" s="128"/>
      <c r="F170" s="128"/>
      <c r="G170" s="128"/>
      <c r="H170" s="128"/>
      <c r="I170" s="128"/>
      <c r="J170" s="128"/>
      <c r="K170" s="129"/>
      <c r="L170" s="58"/>
      <c r="X170" s="58"/>
      <c r="Y170" s="58"/>
      <c r="Z170" s="58"/>
    </row>
    <row r="171" spans="1:26" ht="13.5">
      <c r="A171" s="58"/>
      <c r="B171" s="135" t="s">
        <v>1187</v>
      </c>
      <c r="C171" s="372"/>
      <c r="D171" s="372"/>
      <c r="E171" s="372"/>
      <c r="F171" s="372"/>
      <c r="G171" s="372"/>
      <c r="H171" s="128"/>
      <c r="I171" s="128"/>
      <c r="J171" s="128"/>
      <c r="K171" s="129"/>
      <c r="L171" s="58"/>
      <c r="X171" s="58"/>
      <c r="Y171" s="58"/>
      <c r="Z171" s="58"/>
    </row>
    <row r="172" spans="1:26" ht="13.5">
      <c r="A172" s="58"/>
      <c r="B172" s="135" t="s">
        <v>1191</v>
      </c>
      <c r="C172" s="372"/>
      <c r="D172" s="372"/>
      <c r="E172" s="372"/>
      <c r="F172" s="372"/>
      <c r="G172" s="372"/>
      <c r="H172" s="128"/>
      <c r="I172" s="128"/>
      <c r="J172" s="128"/>
      <c r="K172" s="129"/>
      <c r="L172" s="58"/>
      <c r="X172" s="58"/>
      <c r="Y172" s="58"/>
      <c r="Z172" s="58"/>
    </row>
    <row r="173" spans="1:26" ht="13.5">
      <c r="A173" s="58"/>
      <c r="B173" s="135" t="s">
        <v>32</v>
      </c>
      <c r="C173" s="372"/>
      <c r="D173" s="372"/>
      <c r="E173" s="372"/>
      <c r="F173" s="372"/>
      <c r="G173" s="372"/>
      <c r="H173" s="128"/>
      <c r="I173" s="128"/>
      <c r="J173" s="128"/>
      <c r="K173" s="129"/>
      <c r="L173" s="58"/>
      <c r="X173" s="58"/>
      <c r="Y173" s="58"/>
      <c r="Z173" s="58"/>
    </row>
    <row r="174" spans="1:26" ht="13.5">
      <c r="A174" s="58"/>
      <c r="B174" s="135" t="s">
        <v>33</v>
      </c>
      <c r="C174" s="372"/>
      <c r="D174" s="372"/>
      <c r="E174" s="372"/>
      <c r="F174" s="372"/>
      <c r="G174" s="372"/>
      <c r="H174" s="128"/>
      <c r="I174" s="128"/>
      <c r="J174" s="128"/>
      <c r="K174" s="129"/>
      <c r="L174" s="58"/>
      <c r="X174" s="58"/>
      <c r="Y174" s="58"/>
      <c r="Z174" s="58"/>
    </row>
    <row r="175" spans="1:26" ht="13.5">
      <c r="A175" s="58"/>
      <c r="B175" s="135" t="s">
        <v>30</v>
      </c>
      <c r="C175" s="372"/>
      <c r="D175" s="372"/>
      <c r="E175" s="372"/>
      <c r="F175" s="372"/>
      <c r="G175" s="372"/>
      <c r="H175" s="128"/>
      <c r="I175" s="128"/>
      <c r="J175" s="128"/>
      <c r="K175" s="129"/>
      <c r="L175" s="58"/>
      <c r="X175" s="58"/>
      <c r="Y175" s="58"/>
      <c r="Z175" s="58"/>
    </row>
    <row r="176" spans="1:26" ht="13.5">
      <c r="A176" s="58"/>
      <c r="B176" s="135"/>
      <c r="C176" s="372"/>
      <c r="D176" s="372"/>
      <c r="E176" s="372"/>
      <c r="F176" s="372"/>
      <c r="G176" s="372"/>
      <c r="H176" s="128"/>
      <c r="I176" s="128"/>
      <c r="J176" s="128"/>
      <c r="K176" s="129"/>
      <c r="L176" s="58"/>
      <c r="X176" s="58"/>
      <c r="Y176" s="58"/>
      <c r="Z176" s="58"/>
    </row>
    <row r="177" spans="1:26" ht="13.5">
      <c r="A177" s="58"/>
      <c r="B177" s="284" t="s">
        <v>1179</v>
      </c>
      <c r="C177" s="128"/>
      <c r="D177" s="128"/>
      <c r="E177" s="128"/>
      <c r="F177" s="128"/>
      <c r="G177" s="128"/>
      <c r="H177" s="128"/>
      <c r="I177" s="128"/>
      <c r="J177" s="128"/>
      <c r="K177" s="129"/>
      <c r="L177" s="58"/>
      <c r="X177" s="58"/>
      <c r="Y177" s="58"/>
      <c r="Z177" s="58"/>
    </row>
    <row r="178" spans="1:26" ht="13.5">
      <c r="A178" s="58"/>
      <c r="B178" s="134" t="s">
        <v>1180</v>
      </c>
      <c r="C178" s="128"/>
      <c r="D178" s="128" t="s">
        <v>1086</v>
      </c>
      <c r="E178" s="128"/>
      <c r="F178" s="128"/>
      <c r="G178" s="128"/>
      <c r="H178" s="128"/>
      <c r="I178" s="128"/>
      <c r="J178" s="128"/>
      <c r="K178" s="129"/>
      <c r="L178" s="58"/>
      <c r="X178" s="58"/>
      <c r="Y178" s="58"/>
      <c r="Z178" s="58"/>
    </row>
    <row r="179" spans="1:26" ht="13.5">
      <c r="A179" s="58"/>
      <c r="B179" s="135" t="s">
        <v>1181</v>
      </c>
      <c r="C179" s="128"/>
      <c r="D179" s="128"/>
      <c r="E179" s="128"/>
      <c r="F179" s="128"/>
      <c r="G179" s="128"/>
      <c r="H179" s="128"/>
      <c r="I179" s="128"/>
      <c r="J179" s="128"/>
      <c r="K179" s="129"/>
      <c r="L179" s="58"/>
      <c r="X179" s="58"/>
      <c r="Y179" s="58"/>
      <c r="Z179" s="58"/>
    </row>
    <row r="180" spans="1:26" ht="13.5">
      <c r="A180" s="58"/>
      <c r="B180" s="135" t="s">
        <v>1182</v>
      </c>
      <c r="C180" s="128"/>
      <c r="D180" s="128"/>
      <c r="E180" s="128"/>
      <c r="F180" s="128"/>
      <c r="G180" s="128"/>
      <c r="H180" s="128"/>
      <c r="I180" s="128"/>
      <c r="J180" s="128"/>
      <c r="K180" s="129"/>
      <c r="L180" s="58"/>
      <c r="X180" s="58"/>
      <c r="Y180" s="58"/>
      <c r="Z180" s="58"/>
    </row>
    <row r="181" spans="1:26" ht="13.5">
      <c r="A181" s="58"/>
      <c r="B181" s="135" t="s">
        <v>1183</v>
      </c>
      <c r="C181" s="128"/>
      <c r="D181" s="128"/>
      <c r="E181" s="128"/>
      <c r="F181" s="128"/>
      <c r="G181" s="128"/>
      <c r="H181" s="128"/>
      <c r="I181" s="128"/>
      <c r="J181" s="128"/>
      <c r="K181" s="129"/>
      <c r="L181" s="58"/>
      <c r="X181" s="58"/>
      <c r="Y181" s="58"/>
      <c r="Z181" s="58"/>
    </row>
    <row r="182" spans="1:26" ht="13.5">
      <c r="A182" s="58"/>
      <c r="B182" s="135" t="s">
        <v>1184</v>
      </c>
      <c r="C182" s="128"/>
      <c r="D182" s="128"/>
      <c r="E182" s="128"/>
      <c r="F182" s="128"/>
      <c r="G182" s="128"/>
      <c r="H182" s="128"/>
      <c r="I182" s="128"/>
      <c r="J182" s="128"/>
      <c r="K182" s="129"/>
      <c r="L182" s="58"/>
      <c r="X182" s="58"/>
      <c r="Y182" s="58"/>
      <c r="Z182" s="58"/>
    </row>
    <row r="183" spans="1:26" ht="13.5">
      <c r="A183" s="58"/>
      <c r="B183" s="134"/>
      <c r="C183" s="128"/>
      <c r="D183" s="128"/>
      <c r="E183" s="128"/>
      <c r="F183" s="128"/>
      <c r="G183" s="128"/>
      <c r="H183" s="128"/>
      <c r="I183" s="128"/>
      <c r="J183" s="128"/>
      <c r="K183" s="129"/>
      <c r="L183" s="58"/>
      <c r="X183" s="58"/>
      <c r="Y183" s="58"/>
      <c r="Z183" s="58"/>
    </row>
    <row r="184" spans="1:26" ht="13.5">
      <c r="A184" s="58"/>
      <c r="B184" s="284" t="s">
        <v>1178</v>
      </c>
      <c r="C184" s="128"/>
      <c r="D184" s="128"/>
      <c r="E184" s="128"/>
      <c r="F184" s="128"/>
      <c r="G184" s="128"/>
      <c r="H184" s="128"/>
      <c r="I184" s="128"/>
      <c r="J184" s="128"/>
      <c r="K184" s="129"/>
      <c r="L184" s="58"/>
      <c r="X184" s="58"/>
      <c r="Y184" s="58"/>
      <c r="Z184" s="58"/>
    </row>
    <row r="185" spans="1:26" ht="13.5">
      <c r="A185" s="58"/>
      <c r="B185" s="134" t="s">
        <v>1085</v>
      </c>
      <c r="C185" s="128"/>
      <c r="D185" s="128" t="s">
        <v>1086</v>
      </c>
      <c r="E185" s="128"/>
      <c r="F185" s="128"/>
      <c r="G185" s="128"/>
      <c r="H185" s="128"/>
      <c r="I185" s="128"/>
      <c r="J185" s="128"/>
      <c r="K185" s="129"/>
      <c r="L185" s="58"/>
      <c r="X185" s="58"/>
      <c r="Y185" s="58"/>
      <c r="Z185" s="58"/>
    </row>
    <row r="186" spans="1:26" ht="13.5">
      <c r="A186" s="58"/>
      <c r="B186" s="135" t="s">
        <v>1087</v>
      </c>
      <c r="C186" s="128"/>
      <c r="D186" s="128"/>
      <c r="E186" s="128"/>
      <c r="F186" s="128"/>
      <c r="G186" s="128"/>
      <c r="H186" s="128"/>
      <c r="I186" s="128"/>
      <c r="J186" s="128"/>
      <c r="K186" s="129"/>
      <c r="L186" s="58"/>
      <c r="X186" s="58"/>
      <c r="Y186" s="58"/>
      <c r="Z186" s="58"/>
    </row>
    <row r="187" spans="1:26" ht="13.5">
      <c r="A187" s="58"/>
      <c r="B187" s="134"/>
      <c r="C187" s="128"/>
      <c r="D187" s="128"/>
      <c r="E187" s="128"/>
      <c r="F187" s="128"/>
      <c r="G187" s="128"/>
      <c r="H187" s="128"/>
      <c r="I187" s="128"/>
      <c r="J187" s="128"/>
      <c r="K187" s="129"/>
      <c r="L187" s="58"/>
      <c r="X187" s="58"/>
      <c r="Y187" s="58"/>
      <c r="Z187" s="58"/>
    </row>
    <row r="188" spans="1:26" ht="13.5">
      <c r="A188" s="58"/>
      <c r="B188" s="284" t="s">
        <v>1177</v>
      </c>
      <c r="C188" s="128"/>
      <c r="D188" s="22"/>
      <c r="E188" s="128"/>
      <c r="F188" s="128"/>
      <c r="G188" s="128"/>
      <c r="H188" s="128"/>
      <c r="I188" s="128"/>
      <c r="J188" s="128"/>
      <c r="K188" s="129"/>
      <c r="L188" s="58"/>
      <c r="X188" s="58"/>
      <c r="Y188" s="58"/>
      <c r="Z188" s="58"/>
    </row>
    <row r="189" spans="1:26" ht="13.5">
      <c r="A189" s="58"/>
      <c r="B189" s="134" t="s">
        <v>1082</v>
      </c>
      <c r="C189" s="128"/>
      <c r="D189" s="128" t="s">
        <v>1057</v>
      </c>
      <c r="E189" s="128"/>
      <c r="F189" s="128"/>
      <c r="G189" s="128"/>
      <c r="H189" s="128"/>
      <c r="I189" s="128"/>
      <c r="J189" s="128"/>
      <c r="K189" s="129"/>
      <c r="L189" s="58"/>
      <c r="X189" s="58"/>
      <c r="Y189" s="58"/>
      <c r="Z189" s="58"/>
    </row>
    <row r="190" spans="1:26" ht="13.5">
      <c r="A190" s="58"/>
      <c r="B190" s="135" t="s">
        <v>1080</v>
      </c>
      <c r="C190" s="372"/>
      <c r="D190" s="372"/>
      <c r="E190" s="372"/>
      <c r="F190" s="372"/>
      <c r="G190" s="372"/>
      <c r="H190" s="128"/>
      <c r="I190" s="128"/>
      <c r="J190" s="128"/>
      <c r="K190" s="129"/>
      <c r="L190" s="58"/>
      <c r="X190" s="58"/>
      <c r="Y190" s="58"/>
      <c r="Z190" s="58"/>
    </row>
    <row r="191" spans="1:26" ht="13.5">
      <c r="A191" s="58"/>
      <c r="B191" s="135" t="s">
        <v>1081</v>
      </c>
      <c r="C191" s="372"/>
      <c r="D191" s="372"/>
      <c r="E191" s="372"/>
      <c r="F191" s="372"/>
      <c r="G191" s="372"/>
      <c r="H191" s="128"/>
      <c r="I191" s="128"/>
      <c r="J191" s="128"/>
      <c r="K191" s="129"/>
      <c r="L191" s="58"/>
      <c r="X191" s="58"/>
      <c r="Y191" s="58"/>
      <c r="Z191" s="58"/>
    </row>
    <row r="192" spans="1:26" ht="13.5">
      <c r="A192" s="58"/>
      <c r="B192" s="135" t="s">
        <v>1084</v>
      </c>
      <c r="C192" s="372"/>
      <c r="D192" s="372"/>
      <c r="E192" s="372"/>
      <c r="F192" s="372"/>
      <c r="G192" s="372"/>
      <c r="H192" s="128"/>
      <c r="I192" s="128"/>
      <c r="J192" s="128"/>
      <c r="K192" s="129"/>
      <c r="L192" s="58"/>
      <c r="X192" s="58"/>
      <c r="Y192" s="58"/>
      <c r="Z192" s="58"/>
    </row>
    <row r="193" spans="1:26" ht="13.5">
      <c r="A193" s="58"/>
      <c r="B193" s="134"/>
      <c r="C193" s="128"/>
      <c r="D193" s="128"/>
      <c r="E193" s="128"/>
      <c r="F193" s="128"/>
      <c r="G193" s="128"/>
      <c r="H193" s="128"/>
      <c r="I193" s="128"/>
      <c r="J193" s="128"/>
      <c r="K193" s="129"/>
      <c r="L193" s="58"/>
      <c r="X193" s="58"/>
      <c r="Y193" s="58"/>
      <c r="Z193" s="58"/>
    </row>
    <row r="194" spans="1:26" ht="13.5">
      <c r="A194" s="58"/>
      <c r="B194" s="284" t="s">
        <v>1058</v>
      </c>
      <c r="C194" s="128"/>
      <c r="D194" s="128"/>
      <c r="E194" s="128"/>
      <c r="F194" s="128"/>
      <c r="G194" s="128"/>
      <c r="H194" s="128"/>
      <c r="I194" s="128"/>
      <c r="J194" s="128"/>
      <c r="K194" s="129"/>
      <c r="L194" s="58"/>
      <c r="X194" s="58"/>
      <c r="Y194" s="58"/>
      <c r="Z194" s="58"/>
    </row>
    <row r="195" spans="1:26" ht="13.5">
      <c r="A195" s="58"/>
      <c r="B195" s="134" t="s">
        <v>1047</v>
      </c>
      <c r="C195" s="128"/>
      <c r="D195" s="128" t="s">
        <v>1057</v>
      </c>
      <c r="E195" s="128"/>
      <c r="F195" s="128"/>
      <c r="G195" s="128"/>
      <c r="H195" s="128"/>
      <c r="I195" s="128"/>
      <c r="J195" s="128"/>
      <c r="K195" s="129"/>
      <c r="L195" s="58"/>
      <c r="X195" s="58"/>
      <c r="Y195" s="58"/>
      <c r="Z195" s="58"/>
    </row>
    <row r="196" spans="1:26" ht="13.5">
      <c r="A196" s="58"/>
      <c r="B196" s="135" t="s">
        <v>1048</v>
      </c>
      <c r="C196" s="128"/>
      <c r="D196" s="128"/>
      <c r="E196" s="128"/>
      <c r="F196" s="128"/>
      <c r="G196" s="128"/>
      <c r="H196" s="128"/>
      <c r="I196" s="128"/>
      <c r="J196" s="128"/>
      <c r="K196" s="129"/>
      <c r="L196" s="58"/>
      <c r="X196" s="58"/>
      <c r="Y196" s="58"/>
      <c r="Z196" s="58"/>
    </row>
    <row r="197" spans="1:26" ht="13.5">
      <c r="A197" s="58"/>
      <c r="B197" s="135" t="s">
        <v>1053</v>
      </c>
      <c r="C197" s="128"/>
      <c r="D197" s="128"/>
      <c r="E197" s="128"/>
      <c r="F197" s="128"/>
      <c r="G197" s="128"/>
      <c r="H197" s="128"/>
      <c r="I197" s="128"/>
      <c r="J197" s="128"/>
      <c r="K197" s="129"/>
      <c r="L197" s="58"/>
      <c r="X197" s="58"/>
      <c r="Y197" s="58"/>
      <c r="Z197" s="58"/>
    </row>
    <row r="198" spans="1:26" ht="13.5">
      <c r="A198" s="58"/>
      <c r="B198" s="135" t="s">
        <v>1049</v>
      </c>
      <c r="C198" s="128"/>
      <c r="D198" s="128"/>
      <c r="E198" s="128"/>
      <c r="F198" s="128"/>
      <c r="G198" s="128"/>
      <c r="H198" s="128"/>
      <c r="I198" s="128"/>
      <c r="J198" s="128"/>
      <c r="K198" s="129"/>
      <c r="L198" s="58"/>
      <c r="X198" s="58"/>
      <c r="Y198" s="58"/>
      <c r="Z198" s="58"/>
    </row>
    <row r="199" spans="1:26" ht="13.5">
      <c r="A199" s="58"/>
      <c r="B199" s="135" t="s">
        <v>1052</v>
      </c>
      <c r="C199" s="128"/>
      <c r="D199" s="128"/>
      <c r="E199" s="372"/>
      <c r="F199" s="128"/>
      <c r="G199" s="128"/>
      <c r="H199" s="128"/>
      <c r="I199" s="128"/>
      <c r="J199" s="128"/>
      <c r="K199" s="129"/>
      <c r="L199" s="58"/>
      <c r="X199" s="58"/>
      <c r="Y199" s="58"/>
      <c r="Z199" s="58"/>
    </row>
    <row r="200" spans="1:26" ht="13.5">
      <c r="A200" s="58"/>
      <c r="B200" s="135"/>
      <c r="C200" s="128"/>
      <c r="D200" s="128"/>
      <c r="E200" s="128"/>
      <c r="F200" s="128"/>
      <c r="G200" s="128"/>
      <c r="H200" s="128"/>
      <c r="I200" s="128"/>
      <c r="J200" s="128"/>
      <c r="K200" s="129"/>
      <c r="L200" s="58"/>
      <c r="X200" s="58"/>
      <c r="Y200" s="58"/>
      <c r="Z200" s="58"/>
    </row>
    <row r="201" spans="1:26" ht="13.5">
      <c r="A201" s="58"/>
      <c r="B201" s="284" t="s">
        <v>1040</v>
      </c>
      <c r="C201" s="128"/>
      <c r="D201" s="128"/>
      <c r="E201" s="128"/>
      <c r="F201" s="128"/>
      <c r="G201" s="128"/>
      <c r="H201" s="128"/>
      <c r="I201" s="128"/>
      <c r="J201" s="128"/>
      <c r="K201" s="129"/>
      <c r="L201" s="58"/>
      <c r="X201" s="58"/>
      <c r="Y201" s="58"/>
      <c r="Z201" s="58"/>
    </row>
    <row r="202" spans="1:26" ht="13.5">
      <c r="A202" s="58"/>
      <c r="B202" s="134" t="s">
        <v>1041</v>
      </c>
      <c r="C202" s="128"/>
      <c r="D202" s="128"/>
      <c r="E202" s="128"/>
      <c r="F202" s="128"/>
      <c r="G202" s="128"/>
      <c r="H202" s="128"/>
      <c r="I202" s="128"/>
      <c r="J202" s="128"/>
      <c r="K202" s="129"/>
      <c r="L202" s="58"/>
      <c r="X202" s="58"/>
      <c r="Y202" s="58"/>
      <c r="Z202" s="58"/>
    </row>
    <row r="203" spans="1:26" ht="13.5">
      <c r="A203" s="58"/>
      <c r="B203" s="135" t="s">
        <v>1042</v>
      </c>
      <c r="C203" s="128"/>
      <c r="D203" s="128"/>
      <c r="E203" s="128"/>
      <c r="F203" s="128"/>
      <c r="G203" s="128"/>
      <c r="H203" s="128"/>
      <c r="I203" s="128"/>
      <c r="J203" s="128"/>
      <c r="K203" s="129"/>
      <c r="L203" s="58"/>
      <c r="X203" s="58"/>
      <c r="Y203" s="58"/>
      <c r="Z203" s="58"/>
    </row>
    <row r="204" spans="1:26" ht="13.5">
      <c r="A204" s="58"/>
      <c r="B204" s="284"/>
      <c r="C204" s="128"/>
      <c r="D204" s="128"/>
      <c r="E204" s="128"/>
      <c r="F204" s="128"/>
      <c r="G204" s="128"/>
      <c r="H204" s="128"/>
      <c r="I204" s="128"/>
      <c r="J204" s="128"/>
      <c r="K204" s="129"/>
      <c r="L204" s="58"/>
      <c r="X204" s="58"/>
      <c r="Y204" s="58"/>
      <c r="Z204" s="58"/>
    </row>
    <row r="205" spans="1:26" ht="13.5">
      <c r="A205" s="58"/>
      <c r="B205" s="284" t="s">
        <v>1039</v>
      </c>
      <c r="C205" s="128"/>
      <c r="D205" s="128"/>
      <c r="E205" s="128"/>
      <c r="F205" s="128"/>
      <c r="G205" s="128"/>
      <c r="H205" s="128"/>
      <c r="I205" s="128"/>
      <c r="J205" s="128"/>
      <c r="K205" s="129"/>
      <c r="L205" s="58"/>
      <c r="X205" s="58"/>
      <c r="Y205" s="58"/>
      <c r="Z205" s="58"/>
    </row>
    <row r="206" spans="1:26" ht="13.5">
      <c r="A206" s="58"/>
      <c r="B206" s="134" t="s">
        <v>1035</v>
      </c>
      <c r="C206" s="128"/>
      <c r="D206" s="128"/>
      <c r="E206" s="128"/>
      <c r="F206" s="128"/>
      <c r="G206" s="128"/>
      <c r="H206" s="128"/>
      <c r="I206" s="128"/>
      <c r="J206" s="128"/>
      <c r="K206" s="129"/>
      <c r="L206" s="58"/>
      <c r="X206" s="58"/>
      <c r="Y206" s="58"/>
      <c r="Z206" s="58"/>
    </row>
    <row r="207" spans="1:26" ht="13.5">
      <c r="A207" s="58"/>
      <c r="B207" s="284" t="s">
        <v>1037</v>
      </c>
      <c r="C207" s="128"/>
      <c r="D207" s="128"/>
      <c r="E207" s="128"/>
      <c r="F207" s="128"/>
      <c r="G207" s="128"/>
      <c r="H207" s="128"/>
      <c r="I207" s="128"/>
      <c r="J207" s="128"/>
      <c r="K207" s="129"/>
      <c r="L207" s="58"/>
      <c r="X207" s="58"/>
      <c r="Y207" s="58"/>
      <c r="Z207" s="58"/>
    </row>
    <row r="208" spans="1:26" ht="13.5">
      <c r="A208" s="58"/>
      <c r="B208" s="284"/>
      <c r="C208" s="128"/>
      <c r="D208" s="128"/>
      <c r="E208" s="128"/>
      <c r="F208" s="128"/>
      <c r="G208" s="128"/>
      <c r="H208" s="128"/>
      <c r="I208" s="128"/>
      <c r="J208" s="128"/>
      <c r="K208" s="129"/>
      <c r="L208" s="58"/>
      <c r="X208" s="58"/>
      <c r="Y208" s="58"/>
      <c r="Z208" s="58"/>
    </row>
    <row r="209" spans="1:26" ht="13.5">
      <c r="A209" s="58"/>
      <c r="B209" s="127" t="s">
        <v>1038</v>
      </c>
      <c r="C209" s="128"/>
      <c r="D209" s="128"/>
      <c r="E209" s="128"/>
      <c r="F209" s="128"/>
      <c r="G209" s="128"/>
      <c r="H209" s="128"/>
      <c r="I209" s="128"/>
      <c r="J209" s="128"/>
      <c r="K209" s="129"/>
      <c r="L209" s="58"/>
      <c r="X209" s="58"/>
      <c r="Y209" s="58"/>
      <c r="Z209" s="58"/>
    </row>
    <row r="210" spans="1:26" ht="13.5">
      <c r="A210" s="58"/>
      <c r="B210" s="134" t="s">
        <v>1033</v>
      </c>
      <c r="C210" s="128"/>
      <c r="D210" s="128"/>
      <c r="E210" s="128"/>
      <c r="F210" s="128"/>
      <c r="G210" s="128"/>
      <c r="H210" s="128"/>
      <c r="I210" s="128"/>
      <c r="J210" s="128"/>
      <c r="K210" s="129"/>
      <c r="L210" s="58"/>
      <c r="X210" s="58"/>
      <c r="Y210" s="58"/>
      <c r="Z210" s="58"/>
    </row>
    <row r="211" spans="1:26" ht="13.5">
      <c r="A211" s="58"/>
      <c r="B211" s="135" t="s">
        <v>1034</v>
      </c>
      <c r="C211" s="128"/>
      <c r="D211" s="128"/>
      <c r="E211" s="128"/>
      <c r="F211" s="128"/>
      <c r="G211" s="128"/>
      <c r="H211" s="128"/>
      <c r="I211" s="128"/>
      <c r="J211" s="128"/>
      <c r="K211" s="129"/>
      <c r="L211" s="58"/>
      <c r="X211" s="58"/>
      <c r="Y211" s="58"/>
      <c r="Z211" s="58"/>
    </row>
    <row r="212" spans="1:26" ht="13.5">
      <c r="A212" s="58"/>
      <c r="B212" s="134"/>
      <c r="C212" s="128"/>
      <c r="D212" s="128"/>
      <c r="E212" s="128"/>
      <c r="F212" s="128"/>
      <c r="G212" s="128"/>
      <c r="H212" s="128"/>
      <c r="I212" s="128"/>
      <c r="J212" s="128"/>
      <c r="K212" s="129"/>
      <c r="L212" s="58"/>
      <c r="X212" s="58"/>
      <c r="Y212" s="58"/>
      <c r="Z212" s="58"/>
    </row>
    <row r="213" spans="1:26" ht="13.5">
      <c r="A213" s="58"/>
      <c r="B213" s="135" t="s">
        <v>1032</v>
      </c>
      <c r="C213" s="128"/>
      <c r="D213" s="128"/>
      <c r="E213" s="128"/>
      <c r="F213" s="128"/>
      <c r="G213" s="128"/>
      <c r="H213" s="128"/>
      <c r="I213" s="128"/>
      <c r="J213" s="128"/>
      <c r="K213" s="129"/>
      <c r="L213" s="58"/>
      <c r="X213" s="58"/>
      <c r="Y213" s="58"/>
      <c r="Z213" s="58"/>
    </row>
    <row r="214" spans="1:26" ht="13.5">
      <c r="A214" s="58"/>
      <c r="B214" s="134" t="s">
        <v>1026</v>
      </c>
      <c r="C214" s="128"/>
      <c r="D214" s="128"/>
      <c r="E214" s="128"/>
      <c r="F214" s="128"/>
      <c r="G214" s="128"/>
      <c r="H214" s="128"/>
      <c r="I214" s="128"/>
      <c r="J214" s="128"/>
      <c r="K214" s="129"/>
      <c r="L214" s="58"/>
      <c r="X214" s="58"/>
      <c r="Y214" s="58"/>
      <c r="Z214" s="58"/>
    </row>
    <row r="215" spans="1:26" ht="13.5">
      <c r="A215" s="58"/>
      <c r="B215" s="135" t="s">
        <v>1027</v>
      </c>
      <c r="C215" s="128"/>
      <c r="D215" s="128"/>
      <c r="E215" s="128"/>
      <c r="F215" s="128"/>
      <c r="G215" s="128"/>
      <c r="H215" s="128"/>
      <c r="I215" s="128"/>
      <c r="J215" s="128"/>
      <c r="K215" s="129"/>
      <c r="L215" s="58"/>
      <c r="X215" s="58"/>
      <c r="Y215" s="58"/>
      <c r="Z215" s="58"/>
    </row>
    <row r="216" spans="1:26" ht="13.5">
      <c r="A216" s="58"/>
      <c r="B216" s="135" t="s">
        <v>1031</v>
      </c>
      <c r="C216" s="128"/>
      <c r="D216" s="128"/>
      <c r="E216" s="128"/>
      <c r="F216" s="128"/>
      <c r="G216" s="128"/>
      <c r="H216" s="128"/>
      <c r="I216" s="128"/>
      <c r="J216" s="128"/>
      <c r="K216" s="129"/>
      <c r="L216" s="58"/>
      <c r="X216" s="58"/>
      <c r="Y216" s="58"/>
      <c r="Z216" s="58"/>
    </row>
    <row r="217" spans="1:26" ht="13.5">
      <c r="A217" s="58"/>
      <c r="B217" s="135" t="s">
        <v>1028</v>
      </c>
      <c r="C217" s="128"/>
      <c r="D217" s="128"/>
      <c r="E217" s="128"/>
      <c r="F217" s="128"/>
      <c r="G217" s="128"/>
      <c r="H217" s="128"/>
      <c r="I217" s="128"/>
      <c r="J217" s="128"/>
      <c r="K217" s="129"/>
      <c r="L217" s="58"/>
      <c r="X217" s="58"/>
      <c r="Y217" s="58"/>
      <c r="Z217" s="58"/>
    </row>
    <row r="218" spans="1:26" ht="13.5">
      <c r="A218" s="58"/>
      <c r="B218" s="134"/>
      <c r="C218" s="128"/>
      <c r="D218" s="128"/>
      <c r="E218" s="128"/>
      <c r="F218" s="128"/>
      <c r="G218" s="128"/>
      <c r="H218" s="128"/>
      <c r="I218" s="128"/>
      <c r="J218" s="128"/>
      <c r="K218" s="129"/>
      <c r="L218" s="58"/>
      <c r="X218" s="58"/>
      <c r="Y218" s="58"/>
      <c r="Z218" s="58"/>
    </row>
    <row r="219" spans="1:26" ht="13.5">
      <c r="A219" s="58"/>
      <c r="B219" s="135" t="s">
        <v>989</v>
      </c>
      <c r="C219" s="128"/>
      <c r="D219" s="128"/>
      <c r="E219" s="128"/>
      <c r="F219" s="128"/>
      <c r="G219" s="128"/>
      <c r="H219" s="128"/>
      <c r="I219" s="128"/>
      <c r="J219" s="128"/>
      <c r="K219" s="129"/>
      <c r="L219" s="58"/>
      <c r="X219" s="58"/>
      <c r="Y219" s="58"/>
      <c r="Z219" s="58"/>
    </row>
    <row r="220" spans="1:26" ht="13.5">
      <c r="A220" s="58"/>
      <c r="B220" s="134" t="s">
        <v>991</v>
      </c>
      <c r="C220" s="128"/>
      <c r="D220" s="128"/>
      <c r="E220" s="128"/>
      <c r="F220" s="128"/>
      <c r="G220" s="128"/>
      <c r="H220" s="128"/>
      <c r="I220" s="128"/>
      <c r="J220" s="128"/>
      <c r="K220" s="129"/>
      <c r="L220" s="58"/>
      <c r="X220" s="58"/>
      <c r="Y220" s="58"/>
      <c r="Z220" s="58"/>
    </row>
    <row r="221" spans="1:26" ht="13.5">
      <c r="A221" s="58"/>
      <c r="B221" s="135" t="s">
        <v>990</v>
      </c>
      <c r="C221" s="372"/>
      <c r="D221" s="372"/>
      <c r="E221" s="372"/>
      <c r="F221" s="128"/>
      <c r="G221" s="128"/>
      <c r="H221" s="128"/>
      <c r="I221" s="128"/>
      <c r="J221" s="128"/>
      <c r="K221" s="129"/>
      <c r="L221" s="58"/>
      <c r="X221" s="58"/>
      <c r="Y221" s="58"/>
      <c r="Z221" s="58"/>
    </row>
    <row r="222" spans="1:26" ht="13.5">
      <c r="A222" s="58"/>
      <c r="B222" s="135" t="s">
        <v>1004</v>
      </c>
      <c r="C222" s="372"/>
      <c r="D222" s="372"/>
      <c r="E222" s="372"/>
      <c r="F222" s="128"/>
      <c r="G222" s="128"/>
      <c r="H222" s="128"/>
      <c r="I222" s="128"/>
      <c r="J222" s="128"/>
      <c r="K222" s="129"/>
      <c r="L222" s="58"/>
      <c r="X222" s="58"/>
      <c r="Y222" s="58"/>
      <c r="Z222" s="58"/>
    </row>
    <row r="223" spans="1:26" ht="13.5">
      <c r="A223" s="58"/>
      <c r="B223" s="134"/>
      <c r="C223" s="128"/>
      <c r="D223" s="128"/>
      <c r="E223" s="128"/>
      <c r="F223" s="128"/>
      <c r="G223" s="128"/>
      <c r="H223" s="128"/>
      <c r="I223" s="128"/>
      <c r="J223" s="128"/>
      <c r="K223" s="129"/>
      <c r="L223" s="58"/>
      <c r="X223" s="58"/>
      <c r="Y223" s="58"/>
      <c r="Z223" s="58"/>
    </row>
    <row r="224" spans="1:26" ht="13.5">
      <c r="A224" s="58"/>
      <c r="B224" s="135" t="s">
        <v>980</v>
      </c>
      <c r="C224" s="372"/>
      <c r="D224" s="372"/>
      <c r="E224" s="372"/>
      <c r="F224" s="128"/>
      <c r="G224" s="128"/>
      <c r="H224" s="128"/>
      <c r="I224" s="128"/>
      <c r="J224" s="128"/>
      <c r="K224" s="129"/>
      <c r="L224" s="58"/>
      <c r="X224" s="58"/>
      <c r="Y224" s="58"/>
      <c r="Z224" s="58"/>
    </row>
    <row r="225" spans="1:26" ht="13.5">
      <c r="A225" s="58"/>
      <c r="B225" s="134" t="s">
        <v>981</v>
      </c>
      <c r="C225" s="372"/>
      <c r="D225" s="372"/>
      <c r="E225" s="372"/>
      <c r="F225" s="128"/>
      <c r="G225" s="128"/>
      <c r="H225" s="128"/>
      <c r="I225" s="128"/>
      <c r="J225" s="128"/>
      <c r="K225" s="129"/>
      <c r="L225" s="58"/>
      <c r="X225" s="58"/>
      <c r="Y225" s="58"/>
      <c r="Z225" s="58"/>
    </row>
    <row r="226" spans="1:26" ht="13.5">
      <c r="A226" s="58"/>
      <c r="B226" s="135" t="s">
        <v>982</v>
      </c>
      <c r="C226" s="372"/>
      <c r="D226" s="372"/>
      <c r="E226" s="372"/>
      <c r="F226" s="128"/>
      <c r="G226" s="128"/>
      <c r="H226" s="128"/>
      <c r="I226" s="128"/>
      <c r="J226" s="128"/>
      <c r="K226" s="129"/>
      <c r="L226" s="58"/>
      <c r="X226" s="58"/>
      <c r="Y226" s="58"/>
      <c r="Z226" s="58"/>
    </row>
    <row r="227" spans="1:26" ht="13.5">
      <c r="A227" s="58"/>
      <c r="B227" s="135" t="s">
        <v>983</v>
      </c>
      <c r="C227" s="372"/>
      <c r="D227" s="372"/>
      <c r="E227" s="372"/>
      <c r="F227" s="128"/>
      <c r="G227" s="128"/>
      <c r="H227" s="128"/>
      <c r="I227" s="128"/>
      <c r="J227" s="128"/>
      <c r="K227" s="129"/>
      <c r="L227" s="58"/>
      <c r="X227" s="58"/>
      <c r="Y227" s="58"/>
      <c r="Z227" s="58"/>
    </row>
    <row r="228" spans="1:26" ht="13.5">
      <c r="A228" s="58"/>
      <c r="B228" s="135" t="s">
        <v>987</v>
      </c>
      <c r="C228" s="372"/>
      <c r="D228" s="372"/>
      <c r="E228" s="372"/>
      <c r="F228" s="128"/>
      <c r="G228" s="128"/>
      <c r="H228" s="128"/>
      <c r="I228" s="128"/>
      <c r="J228" s="128"/>
      <c r="K228" s="129"/>
      <c r="L228" s="58"/>
      <c r="X228" s="58"/>
      <c r="Y228" s="58"/>
      <c r="Z228" s="58"/>
    </row>
    <row r="229" spans="1:26" ht="13.5">
      <c r="A229" s="58"/>
      <c r="B229" s="135"/>
      <c r="C229" s="372"/>
      <c r="D229" s="372"/>
      <c r="E229" s="372"/>
      <c r="F229" s="128"/>
      <c r="G229" s="128"/>
      <c r="H229" s="128"/>
      <c r="I229" s="128"/>
      <c r="J229" s="128"/>
      <c r="K229" s="129"/>
      <c r="L229" s="58"/>
      <c r="X229" s="58"/>
      <c r="Y229" s="58"/>
      <c r="Z229" s="58"/>
    </row>
    <row r="230" spans="1:26" ht="13.5">
      <c r="A230" s="58"/>
      <c r="B230" s="127" t="s">
        <v>824</v>
      </c>
      <c r="C230" s="128"/>
      <c r="D230" s="128"/>
      <c r="E230" s="128"/>
      <c r="F230" s="128"/>
      <c r="G230" s="128"/>
      <c r="H230" s="128"/>
      <c r="I230" s="128"/>
      <c r="J230" s="128"/>
      <c r="K230" s="129"/>
      <c r="L230" s="58"/>
      <c r="X230" s="58"/>
      <c r="Y230" s="58"/>
      <c r="Z230" s="58"/>
    </row>
    <row r="231" spans="1:26" ht="13.5">
      <c r="A231" s="58"/>
      <c r="B231" s="134" t="s">
        <v>825</v>
      </c>
      <c r="C231" s="128"/>
      <c r="D231" s="128"/>
      <c r="E231" s="128"/>
      <c r="F231" s="128"/>
      <c r="G231" s="128"/>
      <c r="H231" s="128"/>
      <c r="I231" s="128"/>
      <c r="J231" s="128"/>
      <c r="K231" s="129"/>
      <c r="L231" s="58"/>
      <c r="X231" s="58"/>
      <c r="Y231" s="58"/>
      <c r="Z231" s="58"/>
    </row>
    <row r="232" spans="1:26" ht="13.5">
      <c r="A232" s="58"/>
      <c r="B232" s="284" t="s">
        <v>826</v>
      </c>
      <c r="C232" s="339"/>
      <c r="D232" s="339"/>
      <c r="E232" s="339"/>
      <c r="F232" s="339"/>
      <c r="G232" s="339"/>
      <c r="H232" s="339"/>
      <c r="I232" s="128"/>
      <c r="J232" s="128"/>
      <c r="K232" s="129"/>
      <c r="L232" s="58"/>
      <c r="X232" s="58"/>
      <c r="Y232" s="58"/>
      <c r="Z232" s="58"/>
    </row>
    <row r="233" spans="1:26" ht="13.5">
      <c r="A233" s="58"/>
      <c r="B233" s="284" t="s">
        <v>828</v>
      </c>
      <c r="C233" s="339"/>
      <c r="D233" s="339"/>
      <c r="E233" s="339"/>
      <c r="F233" s="339"/>
      <c r="G233" s="339"/>
      <c r="H233" s="339"/>
      <c r="I233" s="128"/>
      <c r="J233" s="128"/>
      <c r="K233" s="129"/>
      <c r="L233" s="58"/>
      <c r="X233" s="58"/>
      <c r="Y233" s="58"/>
      <c r="Z233" s="58"/>
    </row>
    <row r="234" spans="1:26" ht="13.5">
      <c r="A234" s="58"/>
      <c r="B234" s="284" t="s">
        <v>827</v>
      </c>
      <c r="C234" s="339"/>
      <c r="D234" s="339"/>
      <c r="E234" s="339"/>
      <c r="F234" s="339"/>
      <c r="G234" s="339"/>
      <c r="H234" s="339"/>
      <c r="I234" s="128"/>
      <c r="J234" s="128"/>
      <c r="K234" s="129"/>
      <c r="L234" s="58"/>
      <c r="X234" s="58"/>
      <c r="Y234" s="58"/>
      <c r="Z234" s="58"/>
    </row>
    <row r="235" spans="1:26" ht="13.5">
      <c r="A235" s="58"/>
      <c r="B235" s="284" t="s">
        <v>829</v>
      </c>
      <c r="C235" s="339"/>
      <c r="D235" s="339"/>
      <c r="E235" s="339"/>
      <c r="F235" s="339"/>
      <c r="G235" s="339"/>
      <c r="H235" s="339"/>
      <c r="I235" s="128"/>
      <c r="J235" s="128"/>
      <c r="K235" s="129"/>
      <c r="L235" s="58"/>
      <c r="X235" s="58"/>
      <c r="Y235" s="58"/>
      <c r="Z235" s="58"/>
    </row>
    <row r="236" spans="1:26" ht="13.5">
      <c r="A236" s="58"/>
      <c r="B236" s="284" t="s">
        <v>830</v>
      </c>
      <c r="C236" s="339"/>
      <c r="D236" s="339"/>
      <c r="E236" s="339"/>
      <c r="F236" s="339"/>
      <c r="G236" s="339"/>
      <c r="H236" s="339"/>
      <c r="I236" s="128"/>
      <c r="J236" s="128"/>
      <c r="K236" s="129"/>
      <c r="L236" s="58"/>
      <c r="X236" s="58"/>
      <c r="Y236" s="58"/>
      <c r="Z236" s="58"/>
    </row>
    <row r="237" spans="1:26" ht="13.5">
      <c r="A237" s="58"/>
      <c r="B237" s="284" t="s">
        <v>901</v>
      </c>
      <c r="C237" s="339"/>
      <c r="D237" s="339"/>
      <c r="E237" s="339"/>
      <c r="F237" s="339"/>
      <c r="G237" s="339"/>
      <c r="H237" s="339"/>
      <c r="I237" s="128"/>
      <c r="J237" s="128"/>
      <c r="K237" s="129"/>
      <c r="L237" s="58"/>
      <c r="X237" s="58"/>
      <c r="Y237" s="58"/>
      <c r="Z237" s="58"/>
    </row>
    <row r="238" spans="1:26" ht="13.5">
      <c r="A238" s="58"/>
      <c r="B238" s="134"/>
      <c r="C238" s="128"/>
      <c r="D238" s="128"/>
      <c r="E238" s="128"/>
      <c r="F238" s="128"/>
      <c r="G238" s="128"/>
      <c r="H238" s="128"/>
      <c r="I238" s="128"/>
      <c r="J238" s="128"/>
      <c r="K238" s="129"/>
      <c r="L238" s="58"/>
      <c r="X238" s="58"/>
      <c r="Y238" s="58"/>
      <c r="Z238" s="58"/>
    </row>
    <row r="239" spans="1:26" ht="13.5">
      <c r="A239" s="58"/>
      <c r="B239" s="127" t="s">
        <v>603</v>
      </c>
      <c r="C239" s="128"/>
      <c r="D239" s="128"/>
      <c r="E239" s="128"/>
      <c r="F239" s="128"/>
      <c r="G239" s="128"/>
      <c r="H239" s="128"/>
      <c r="I239" s="128"/>
      <c r="J239" s="128"/>
      <c r="K239" s="129"/>
      <c r="L239" s="58"/>
      <c r="X239" s="58"/>
      <c r="Y239" s="58"/>
      <c r="Z239" s="58"/>
    </row>
    <row r="240" spans="1:26" ht="13.5">
      <c r="A240" s="58"/>
      <c r="B240" s="134" t="s">
        <v>604</v>
      </c>
      <c r="C240" s="128"/>
      <c r="D240" s="128"/>
      <c r="E240" s="128"/>
      <c r="F240" s="128"/>
      <c r="G240" s="128"/>
      <c r="H240" s="128"/>
      <c r="I240" s="128"/>
      <c r="J240" s="128"/>
      <c r="K240" s="129"/>
      <c r="L240" s="58"/>
      <c r="X240" s="58"/>
      <c r="Y240" s="58"/>
      <c r="Z240" s="58"/>
    </row>
    <row r="241" spans="1:26" ht="13.5">
      <c r="A241" s="58"/>
      <c r="B241" s="127" t="s">
        <v>605</v>
      </c>
      <c r="C241" s="128"/>
      <c r="D241" s="128"/>
      <c r="E241" s="128"/>
      <c r="F241" s="128"/>
      <c r="G241" s="128"/>
      <c r="H241" s="128"/>
      <c r="I241" s="128"/>
      <c r="J241" s="128"/>
      <c r="K241" s="129"/>
      <c r="L241" s="58"/>
      <c r="X241" s="58"/>
      <c r="Y241" s="58"/>
      <c r="Z241" s="58"/>
    </row>
    <row r="242" spans="1:26" ht="13.5">
      <c r="A242" s="58"/>
      <c r="B242" s="127" t="s">
        <v>607</v>
      </c>
      <c r="C242" s="128"/>
      <c r="D242" s="128"/>
      <c r="E242" s="128"/>
      <c r="F242" s="128"/>
      <c r="G242" s="128"/>
      <c r="H242" s="128"/>
      <c r="I242" s="128"/>
      <c r="J242" s="128"/>
      <c r="K242" s="129"/>
      <c r="L242" s="58"/>
      <c r="X242" s="58"/>
      <c r="Y242" s="58"/>
      <c r="Z242" s="58"/>
    </row>
    <row r="243" spans="1:26" ht="13.5">
      <c r="A243" s="58"/>
      <c r="B243" s="127" t="s">
        <v>608</v>
      </c>
      <c r="C243" s="128"/>
      <c r="D243" s="128"/>
      <c r="E243" s="128"/>
      <c r="F243" s="128"/>
      <c r="G243" s="128"/>
      <c r="H243" s="128"/>
      <c r="I243" s="128"/>
      <c r="J243" s="128"/>
      <c r="K243" s="129"/>
      <c r="L243" s="58"/>
      <c r="X243" s="58"/>
      <c r="Y243" s="58"/>
      <c r="Z243" s="58"/>
    </row>
    <row r="244" spans="1:26" ht="13.5">
      <c r="A244" s="58"/>
      <c r="B244" s="127"/>
      <c r="C244" s="128"/>
      <c r="D244" s="128"/>
      <c r="E244" s="128"/>
      <c r="F244" s="128"/>
      <c r="G244" s="128"/>
      <c r="H244" s="128"/>
      <c r="I244" s="128"/>
      <c r="J244" s="128"/>
      <c r="K244" s="129"/>
      <c r="L244" s="58"/>
      <c r="X244" s="58"/>
      <c r="Y244" s="58"/>
      <c r="Z244" s="58"/>
    </row>
    <row r="245" spans="1:26" ht="13.5">
      <c r="A245" s="58"/>
      <c r="B245" s="127" t="s">
        <v>486</v>
      </c>
      <c r="C245" s="128"/>
      <c r="D245" s="128"/>
      <c r="E245" s="128"/>
      <c r="F245" s="128"/>
      <c r="G245" s="128"/>
      <c r="H245" s="128"/>
      <c r="I245" s="128"/>
      <c r="J245" s="128"/>
      <c r="K245" s="129"/>
      <c r="L245" s="58"/>
      <c r="X245" s="58"/>
      <c r="Y245" s="58"/>
      <c r="Z245" s="58"/>
    </row>
    <row r="246" spans="1:26" ht="13.5">
      <c r="A246" s="58"/>
      <c r="B246" s="134" t="s">
        <v>440</v>
      </c>
      <c r="C246" s="128"/>
      <c r="D246" s="128"/>
      <c r="E246" s="128"/>
      <c r="F246" s="128"/>
      <c r="G246" s="128"/>
      <c r="H246" s="128"/>
      <c r="I246" s="128"/>
      <c r="J246" s="128"/>
      <c r="K246" s="129"/>
      <c r="L246" s="58"/>
      <c r="X246" s="58"/>
      <c r="Y246" s="58"/>
      <c r="Z246" s="58"/>
    </row>
    <row r="247" spans="1:26" ht="13.5">
      <c r="A247" s="58"/>
      <c r="B247" s="135" t="s">
        <v>441</v>
      </c>
      <c r="C247" s="128"/>
      <c r="D247" s="128"/>
      <c r="E247" s="128"/>
      <c r="F247" s="128"/>
      <c r="G247" s="128"/>
      <c r="H247" s="128"/>
      <c r="I247" s="128"/>
      <c r="J247" s="128"/>
      <c r="K247" s="129"/>
      <c r="L247" s="58"/>
      <c r="X247" s="58"/>
      <c r="Y247" s="58"/>
      <c r="Z247" s="58"/>
    </row>
    <row r="248" spans="1:26" ht="13.5">
      <c r="A248" s="58"/>
      <c r="B248" s="135" t="s">
        <v>442</v>
      </c>
      <c r="C248" s="128"/>
      <c r="D248" s="128"/>
      <c r="E248" s="128"/>
      <c r="F248" s="128"/>
      <c r="G248" s="128"/>
      <c r="H248" s="128"/>
      <c r="I248" s="128"/>
      <c r="J248" s="128"/>
      <c r="K248" s="129"/>
      <c r="L248" s="58"/>
      <c r="X248" s="58"/>
      <c r="Y248" s="58"/>
      <c r="Z248" s="58"/>
    </row>
    <row r="249" spans="1:26" ht="13.5">
      <c r="A249" s="58"/>
      <c r="B249" s="135" t="s">
        <v>487</v>
      </c>
      <c r="C249" s="128"/>
      <c r="D249" s="128"/>
      <c r="E249" s="128"/>
      <c r="F249" s="128"/>
      <c r="G249" s="128"/>
      <c r="H249" s="128"/>
      <c r="I249" s="128"/>
      <c r="J249" s="128"/>
      <c r="K249" s="129"/>
      <c r="L249" s="58"/>
      <c r="X249" s="58"/>
      <c r="Y249" s="58"/>
      <c r="Z249" s="58"/>
    </row>
    <row r="250" spans="1:26" ht="13.5">
      <c r="A250" s="58"/>
      <c r="B250" s="135" t="s">
        <v>488</v>
      </c>
      <c r="C250" s="128"/>
      <c r="D250" s="128"/>
      <c r="E250" s="128"/>
      <c r="F250" s="128"/>
      <c r="G250" s="128"/>
      <c r="H250" s="128"/>
      <c r="I250" s="128"/>
      <c r="J250" s="128"/>
      <c r="K250" s="129"/>
      <c r="L250" s="58"/>
      <c r="X250" s="58"/>
      <c r="Y250" s="58"/>
      <c r="Z250" s="58"/>
    </row>
    <row r="251" spans="1:26" ht="13.5">
      <c r="A251" s="58"/>
      <c r="B251" s="135" t="s">
        <v>489</v>
      </c>
      <c r="C251" s="128"/>
      <c r="D251" s="128"/>
      <c r="E251" s="128"/>
      <c r="F251" s="128"/>
      <c r="G251" s="128"/>
      <c r="H251" s="128"/>
      <c r="I251" s="128"/>
      <c r="J251" s="128"/>
      <c r="K251" s="129"/>
      <c r="L251" s="58"/>
      <c r="X251" s="58"/>
      <c r="Y251" s="58"/>
      <c r="Z251" s="58"/>
    </row>
    <row r="252" spans="1:26" ht="13.5">
      <c r="A252" s="58"/>
      <c r="B252" s="135" t="s">
        <v>490</v>
      </c>
      <c r="C252" s="128"/>
      <c r="D252" s="128"/>
      <c r="E252" s="128"/>
      <c r="F252" s="128"/>
      <c r="G252" s="128"/>
      <c r="H252" s="128"/>
      <c r="I252" s="128"/>
      <c r="J252" s="128"/>
      <c r="K252" s="129"/>
      <c r="L252" s="58"/>
      <c r="M252" s="307"/>
      <c r="N252" s="307"/>
      <c r="O252" s="307"/>
      <c r="P252" s="307"/>
      <c r="Q252" s="307"/>
      <c r="R252" s="307"/>
      <c r="S252" s="307"/>
      <c r="T252" s="307"/>
      <c r="U252" s="307"/>
      <c r="V252" s="307"/>
      <c r="W252" s="307"/>
      <c r="X252" s="58"/>
      <c r="Y252" s="58"/>
      <c r="Z252" s="58"/>
    </row>
    <row r="253" spans="1:26" ht="13.5">
      <c r="A253" s="58"/>
      <c r="B253" s="135" t="s">
        <v>491</v>
      </c>
      <c r="C253" s="128"/>
      <c r="D253" s="128"/>
      <c r="E253" s="128"/>
      <c r="F253" s="128"/>
      <c r="G253" s="128"/>
      <c r="H253" s="128"/>
      <c r="I253" s="128"/>
      <c r="J253" s="128"/>
      <c r="K253" s="129"/>
      <c r="L253" s="58"/>
      <c r="M253" s="307"/>
      <c r="N253" s="307"/>
      <c r="O253" s="307"/>
      <c r="P253" s="307"/>
      <c r="Q253" s="307"/>
      <c r="R253" s="307"/>
      <c r="S253" s="307"/>
      <c r="T253" s="307"/>
      <c r="U253" s="307"/>
      <c r="V253" s="307"/>
      <c r="W253" s="307"/>
      <c r="X253" s="58"/>
      <c r="Y253" s="58"/>
      <c r="Z253" s="58"/>
    </row>
    <row r="254" spans="1:26" ht="13.5">
      <c r="A254" s="58"/>
      <c r="B254" s="127"/>
      <c r="C254" s="128"/>
      <c r="D254" s="128"/>
      <c r="E254" s="128"/>
      <c r="F254" s="128"/>
      <c r="G254" s="128"/>
      <c r="H254" s="128"/>
      <c r="I254" s="128"/>
      <c r="J254" s="128"/>
      <c r="K254" s="129"/>
      <c r="L254" s="58"/>
      <c r="M254" s="307"/>
      <c r="N254" s="307"/>
      <c r="O254" s="307"/>
      <c r="P254" s="307"/>
      <c r="Q254" s="307"/>
      <c r="R254" s="307"/>
      <c r="S254" s="307"/>
      <c r="T254" s="307"/>
      <c r="U254" s="307"/>
      <c r="V254" s="307"/>
      <c r="W254" s="307"/>
      <c r="X254" s="58"/>
      <c r="Y254" s="58"/>
      <c r="Z254" s="58"/>
    </row>
    <row r="255" spans="1:26" ht="13.5">
      <c r="A255" s="58"/>
      <c r="B255" s="127" t="s">
        <v>434</v>
      </c>
      <c r="C255" s="128"/>
      <c r="D255" s="128"/>
      <c r="E255" s="128"/>
      <c r="F255" s="128"/>
      <c r="G255" s="128"/>
      <c r="H255" s="128"/>
      <c r="I255" s="128"/>
      <c r="J255" s="128"/>
      <c r="K255" s="129"/>
      <c r="L255" s="58"/>
      <c r="M255" s="307"/>
      <c r="N255" s="307"/>
      <c r="O255" s="307"/>
      <c r="P255" s="307"/>
      <c r="Q255" s="307"/>
      <c r="R255" s="307"/>
      <c r="S255" s="307"/>
      <c r="T255" s="307"/>
      <c r="U255" s="307"/>
      <c r="V255" s="307"/>
      <c r="W255" s="307"/>
      <c r="X255" s="58"/>
      <c r="Y255" s="58"/>
      <c r="Z255" s="58"/>
    </row>
    <row r="256" spans="1:26" ht="13.5">
      <c r="A256" s="58"/>
      <c r="B256" s="134" t="s">
        <v>433</v>
      </c>
      <c r="C256" s="128"/>
      <c r="D256" s="128"/>
      <c r="E256" s="128"/>
      <c r="F256" s="128"/>
      <c r="G256" s="128"/>
      <c r="H256" s="128"/>
      <c r="I256" s="128"/>
      <c r="J256" s="128"/>
      <c r="K256" s="129"/>
      <c r="L256" s="58"/>
      <c r="M256" s="307"/>
      <c r="N256" s="307"/>
      <c r="O256" s="307"/>
      <c r="P256" s="307"/>
      <c r="Q256" s="307"/>
      <c r="R256" s="307"/>
      <c r="S256" s="307"/>
      <c r="T256" s="307"/>
      <c r="U256" s="307"/>
      <c r="V256" s="307"/>
      <c r="W256" s="307"/>
      <c r="X256" s="58"/>
      <c r="Y256" s="58"/>
      <c r="Z256" s="58"/>
    </row>
    <row r="257" spans="1:26" ht="13.5">
      <c r="A257" s="58"/>
      <c r="B257" s="127" t="s">
        <v>436</v>
      </c>
      <c r="C257" s="128"/>
      <c r="D257" s="128"/>
      <c r="E257" s="128"/>
      <c r="F257" s="128"/>
      <c r="G257" s="128"/>
      <c r="H257" s="128"/>
      <c r="I257" s="128"/>
      <c r="J257" s="128"/>
      <c r="K257" s="129"/>
      <c r="L257" s="58"/>
      <c r="M257" s="307"/>
      <c r="N257" s="307"/>
      <c r="O257" s="307"/>
      <c r="P257" s="307"/>
      <c r="Q257" s="307"/>
      <c r="R257" s="307"/>
      <c r="S257" s="307"/>
      <c r="T257" s="307"/>
      <c r="U257" s="307"/>
      <c r="V257" s="307"/>
      <c r="W257" s="307"/>
      <c r="X257" s="58"/>
      <c r="Y257" s="58"/>
      <c r="Z257" s="58"/>
    </row>
    <row r="258" spans="1:26" ht="13.5">
      <c r="A258" s="58"/>
      <c r="B258" s="127" t="s">
        <v>437</v>
      </c>
      <c r="C258" s="128"/>
      <c r="D258" s="128"/>
      <c r="E258" s="128"/>
      <c r="F258" s="128"/>
      <c r="G258" s="128"/>
      <c r="H258" s="128"/>
      <c r="I258" s="128"/>
      <c r="J258" s="128"/>
      <c r="K258" s="129"/>
      <c r="L258" s="58"/>
      <c r="M258" s="307"/>
      <c r="N258" s="307"/>
      <c r="O258" s="307"/>
      <c r="P258" s="307"/>
      <c r="Q258" s="307"/>
      <c r="R258" s="307"/>
      <c r="S258" s="307"/>
      <c r="T258" s="307"/>
      <c r="U258" s="307"/>
      <c r="V258" s="307"/>
      <c r="W258" s="307"/>
      <c r="X258" s="58"/>
      <c r="Y258" s="58"/>
      <c r="Z258" s="58"/>
    </row>
    <row r="259" spans="1:26" ht="13.5">
      <c r="A259" s="58"/>
      <c r="B259" s="127" t="s">
        <v>438</v>
      </c>
      <c r="C259" s="128"/>
      <c r="D259" s="128"/>
      <c r="E259" s="128"/>
      <c r="F259" s="128"/>
      <c r="G259" s="128"/>
      <c r="H259" s="128"/>
      <c r="I259" s="128"/>
      <c r="J259" s="128"/>
      <c r="K259" s="129"/>
      <c r="L259" s="58"/>
      <c r="M259" s="307"/>
      <c r="N259" s="307"/>
      <c r="O259" s="307"/>
      <c r="P259" s="307"/>
      <c r="Q259" s="307"/>
      <c r="R259" s="307"/>
      <c r="S259" s="307"/>
      <c r="T259" s="307"/>
      <c r="U259" s="307"/>
      <c r="V259" s="307"/>
      <c r="W259" s="307"/>
      <c r="X259" s="58"/>
      <c r="Y259" s="58"/>
      <c r="Z259" s="58"/>
    </row>
    <row r="260" spans="1:26" ht="13.5">
      <c r="A260" s="58"/>
      <c r="B260" s="127" t="s">
        <v>439</v>
      </c>
      <c r="C260" s="128"/>
      <c r="D260" s="128"/>
      <c r="E260" s="128"/>
      <c r="F260" s="128"/>
      <c r="G260" s="128"/>
      <c r="H260" s="128"/>
      <c r="I260" s="128"/>
      <c r="J260" s="128"/>
      <c r="K260" s="129"/>
      <c r="L260" s="58"/>
      <c r="M260" s="307"/>
      <c r="N260" s="307"/>
      <c r="O260" s="307"/>
      <c r="P260" s="307"/>
      <c r="Q260" s="307"/>
      <c r="R260" s="307"/>
      <c r="S260" s="307"/>
      <c r="T260" s="307"/>
      <c r="U260" s="307"/>
      <c r="V260" s="307"/>
      <c r="W260" s="307"/>
      <c r="X260" s="58"/>
      <c r="Y260" s="58"/>
      <c r="Z260" s="58"/>
    </row>
    <row r="261" spans="1:26" ht="13.5">
      <c r="A261" s="58"/>
      <c r="B261" s="127"/>
      <c r="C261" s="128"/>
      <c r="D261" s="128"/>
      <c r="E261" s="128"/>
      <c r="F261" s="128"/>
      <c r="G261" s="128"/>
      <c r="H261" s="128"/>
      <c r="I261" s="128"/>
      <c r="J261" s="128"/>
      <c r="K261" s="129"/>
      <c r="L261" s="58"/>
      <c r="M261" s="307"/>
      <c r="N261" s="307"/>
      <c r="O261" s="307"/>
      <c r="P261" s="307"/>
      <c r="Q261" s="307"/>
      <c r="R261" s="307"/>
      <c r="S261" s="307"/>
      <c r="T261" s="307"/>
      <c r="U261" s="307"/>
      <c r="V261" s="307"/>
      <c r="W261" s="307"/>
      <c r="X261" s="58"/>
      <c r="Y261" s="58"/>
      <c r="Z261" s="58"/>
    </row>
    <row r="262" spans="1:26" ht="13.5">
      <c r="A262" s="58"/>
      <c r="B262" s="127" t="s">
        <v>426</v>
      </c>
      <c r="C262" s="128"/>
      <c r="D262" s="128"/>
      <c r="E262" s="128"/>
      <c r="F262" s="128"/>
      <c r="G262" s="128"/>
      <c r="H262" s="128"/>
      <c r="I262" s="128"/>
      <c r="J262" s="128"/>
      <c r="K262" s="129"/>
      <c r="L262" s="58"/>
      <c r="M262" s="307"/>
      <c r="N262" s="307"/>
      <c r="O262" s="307"/>
      <c r="P262" s="307"/>
      <c r="Q262" s="307"/>
      <c r="R262" s="307"/>
      <c r="S262" s="307"/>
      <c r="T262" s="307"/>
      <c r="U262" s="307"/>
      <c r="V262" s="307"/>
      <c r="W262" s="307"/>
      <c r="X262" s="58"/>
      <c r="Y262" s="58"/>
      <c r="Z262" s="58"/>
    </row>
    <row r="263" spans="1:26" ht="13.5">
      <c r="A263" s="58"/>
      <c r="B263" s="134" t="s">
        <v>427</v>
      </c>
      <c r="C263" s="128"/>
      <c r="D263" s="128"/>
      <c r="E263" s="128"/>
      <c r="F263" s="128"/>
      <c r="G263" s="128"/>
      <c r="H263" s="128"/>
      <c r="I263" s="128"/>
      <c r="J263" s="128"/>
      <c r="K263" s="129"/>
      <c r="L263" s="58"/>
      <c r="M263" s="307"/>
      <c r="N263" s="307"/>
      <c r="O263" s="307"/>
      <c r="P263" s="307"/>
      <c r="Q263" s="307"/>
      <c r="R263" s="307"/>
      <c r="S263" s="307"/>
      <c r="T263" s="307"/>
      <c r="U263" s="307"/>
      <c r="V263" s="307"/>
      <c r="W263" s="307"/>
      <c r="X263" s="58"/>
      <c r="Y263" s="58"/>
      <c r="Z263" s="58"/>
    </row>
    <row r="264" spans="1:26" ht="13.5">
      <c r="A264" s="58"/>
      <c r="B264" s="127" t="s">
        <v>428</v>
      </c>
      <c r="C264" s="128"/>
      <c r="D264" s="128"/>
      <c r="E264" s="128"/>
      <c r="F264" s="128"/>
      <c r="G264" s="128"/>
      <c r="H264" s="128"/>
      <c r="I264" s="128"/>
      <c r="J264" s="128"/>
      <c r="K264" s="129"/>
      <c r="L264" s="58"/>
      <c r="M264" s="307"/>
      <c r="N264" s="307"/>
      <c r="O264" s="307"/>
      <c r="P264" s="307"/>
      <c r="Q264" s="307"/>
      <c r="R264" s="307"/>
      <c r="S264" s="307"/>
      <c r="T264" s="307"/>
      <c r="U264" s="307"/>
      <c r="V264" s="307"/>
      <c r="W264" s="307"/>
      <c r="X264" s="58"/>
      <c r="Y264" s="58"/>
      <c r="Z264" s="58"/>
    </row>
    <row r="265" spans="1:26" ht="13.5">
      <c r="A265" s="58"/>
      <c r="B265" s="127" t="s">
        <v>429</v>
      </c>
      <c r="C265" s="128"/>
      <c r="D265" s="128"/>
      <c r="E265" s="128"/>
      <c r="F265" s="128"/>
      <c r="G265" s="128"/>
      <c r="H265" s="128"/>
      <c r="I265" s="128"/>
      <c r="J265" s="128"/>
      <c r="K265" s="129"/>
      <c r="L265" s="58"/>
      <c r="M265" s="307"/>
      <c r="N265" s="307"/>
      <c r="O265" s="307"/>
      <c r="P265" s="307"/>
      <c r="Q265" s="307"/>
      <c r="R265" s="307"/>
      <c r="S265" s="307"/>
      <c r="T265" s="307"/>
      <c r="U265" s="307"/>
      <c r="V265" s="307"/>
      <c r="W265" s="307"/>
      <c r="X265" s="58"/>
      <c r="Y265" s="58"/>
      <c r="Z265" s="58"/>
    </row>
    <row r="266" spans="1:26" ht="13.5">
      <c r="A266" s="58"/>
      <c r="B266" s="127"/>
      <c r="C266" s="128"/>
      <c r="D266" s="128"/>
      <c r="E266" s="128"/>
      <c r="F266" s="128"/>
      <c r="G266" s="128"/>
      <c r="H266" s="128"/>
      <c r="I266" s="128"/>
      <c r="J266" s="128"/>
      <c r="K266" s="129"/>
      <c r="L266" s="58"/>
      <c r="M266" s="307"/>
      <c r="N266" s="307"/>
      <c r="O266" s="307"/>
      <c r="P266" s="307"/>
      <c r="Q266" s="307"/>
      <c r="R266" s="307"/>
      <c r="S266" s="307"/>
      <c r="T266" s="307"/>
      <c r="U266" s="307"/>
      <c r="V266" s="307"/>
      <c r="W266" s="307"/>
      <c r="X266" s="58"/>
      <c r="Y266" s="58"/>
      <c r="Z266" s="58"/>
    </row>
    <row r="267" spans="1:26" ht="13.5">
      <c r="A267" s="58"/>
      <c r="B267" s="127" t="s">
        <v>410</v>
      </c>
      <c r="C267" s="128"/>
      <c r="D267" s="128"/>
      <c r="E267" s="128"/>
      <c r="F267" s="128"/>
      <c r="G267" s="128"/>
      <c r="H267" s="128"/>
      <c r="I267" s="128"/>
      <c r="J267" s="128"/>
      <c r="K267" s="129"/>
      <c r="L267" s="58"/>
      <c r="M267" s="307"/>
      <c r="N267" s="307"/>
      <c r="O267" s="307"/>
      <c r="P267" s="307"/>
      <c r="Q267" s="307"/>
      <c r="R267" s="307"/>
      <c r="S267" s="307"/>
      <c r="T267" s="307"/>
      <c r="U267" s="307"/>
      <c r="V267" s="307"/>
      <c r="W267" s="307"/>
      <c r="X267" s="58"/>
      <c r="Y267" s="58"/>
      <c r="Z267" s="58"/>
    </row>
    <row r="268" spans="1:26" ht="13.5">
      <c r="A268" s="58"/>
      <c r="B268" s="134" t="s">
        <v>411</v>
      </c>
      <c r="C268" s="128"/>
      <c r="D268" s="128"/>
      <c r="E268" s="128"/>
      <c r="F268" s="128"/>
      <c r="G268" s="128"/>
      <c r="H268" s="128"/>
      <c r="I268" s="128"/>
      <c r="J268" s="128"/>
      <c r="K268" s="129"/>
      <c r="L268" s="58"/>
      <c r="M268" s="307"/>
      <c r="N268" s="307"/>
      <c r="O268" s="307"/>
      <c r="P268" s="307"/>
      <c r="Q268" s="307"/>
      <c r="R268" s="307"/>
      <c r="S268" s="307"/>
      <c r="T268" s="307"/>
      <c r="U268" s="307"/>
      <c r="V268" s="307"/>
      <c r="W268" s="307"/>
      <c r="X268" s="58"/>
      <c r="Y268" s="58"/>
      <c r="Z268" s="58"/>
    </row>
    <row r="269" spans="1:26" ht="13.5">
      <c r="A269" s="58"/>
      <c r="B269" s="127" t="s">
        <v>412</v>
      </c>
      <c r="C269" s="128"/>
      <c r="D269" s="128"/>
      <c r="E269" s="128"/>
      <c r="F269" s="128"/>
      <c r="G269" s="128"/>
      <c r="H269" s="128"/>
      <c r="I269" s="128"/>
      <c r="J269" s="128"/>
      <c r="K269" s="129"/>
      <c r="L269" s="58"/>
      <c r="M269" s="307"/>
      <c r="N269" s="307"/>
      <c r="O269" s="307"/>
      <c r="P269" s="307"/>
      <c r="Q269" s="307"/>
      <c r="R269" s="307"/>
      <c r="S269" s="307"/>
      <c r="T269" s="307"/>
      <c r="U269" s="307"/>
      <c r="V269" s="307"/>
      <c r="W269" s="307"/>
      <c r="X269" s="58"/>
      <c r="Y269" s="58"/>
      <c r="Z269" s="58"/>
    </row>
    <row r="270" spans="1:26" ht="13.5">
      <c r="A270" s="58"/>
      <c r="B270" s="127" t="s">
        <v>413</v>
      </c>
      <c r="C270" s="128"/>
      <c r="D270" s="128"/>
      <c r="E270" s="128"/>
      <c r="F270" s="128"/>
      <c r="G270" s="128"/>
      <c r="H270" s="128"/>
      <c r="I270" s="128"/>
      <c r="J270" s="128"/>
      <c r="K270" s="129"/>
      <c r="L270" s="58"/>
      <c r="M270" s="307"/>
      <c r="N270" s="307"/>
      <c r="O270" s="307"/>
      <c r="P270" s="307"/>
      <c r="Q270" s="307"/>
      <c r="R270" s="307"/>
      <c r="S270" s="307"/>
      <c r="T270" s="307"/>
      <c r="U270" s="307"/>
      <c r="V270" s="307"/>
      <c r="W270" s="307"/>
      <c r="X270" s="58"/>
      <c r="Y270" s="58"/>
      <c r="Z270" s="58"/>
    </row>
    <row r="271" spans="1:26" ht="13.5">
      <c r="A271" s="58"/>
      <c r="B271" s="127" t="s">
        <v>414</v>
      </c>
      <c r="C271" s="128"/>
      <c r="D271" s="128"/>
      <c r="E271" s="128"/>
      <c r="F271" s="128"/>
      <c r="G271" s="128"/>
      <c r="H271" s="128"/>
      <c r="I271" s="128"/>
      <c r="J271" s="128"/>
      <c r="K271" s="129"/>
      <c r="L271" s="58"/>
      <c r="M271" s="307"/>
      <c r="N271" s="307"/>
      <c r="O271" s="307"/>
      <c r="P271" s="307"/>
      <c r="Q271" s="307"/>
      <c r="R271" s="307"/>
      <c r="S271" s="307"/>
      <c r="T271" s="307"/>
      <c r="U271" s="307"/>
      <c r="V271" s="307"/>
      <c r="W271" s="307"/>
      <c r="X271" s="58"/>
      <c r="Y271" s="58"/>
      <c r="Z271" s="58"/>
    </row>
    <row r="272" spans="1:26" ht="13.5">
      <c r="A272" s="58"/>
      <c r="B272" s="127"/>
      <c r="C272" s="128"/>
      <c r="D272" s="128"/>
      <c r="E272" s="128"/>
      <c r="F272" s="128"/>
      <c r="G272" s="128"/>
      <c r="H272" s="128"/>
      <c r="I272" s="128"/>
      <c r="J272" s="128"/>
      <c r="K272" s="129"/>
      <c r="L272" s="58"/>
      <c r="M272" s="307"/>
      <c r="N272" s="307"/>
      <c r="O272" s="307"/>
      <c r="P272" s="307"/>
      <c r="Q272" s="307"/>
      <c r="R272" s="307"/>
      <c r="S272" s="307"/>
      <c r="T272" s="307"/>
      <c r="U272" s="307"/>
      <c r="V272" s="307"/>
      <c r="W272" s="307"/>
      <c r="X272" s="58"/>
      <c r="Y272" s="58"/>
      <c r="Z272" s="58"/>
    </row>
    <row r="273" spans="1:26" ht="13.5">
      <c r="A273" s="58"/>
      <c r="B273" s="127" t="s">
        <v>399</v>
      </c>
      <c r="C273" s="128"/>
      <c r="D273" s="128"/>
      <c r="E273" s="128"/>
      <c r="F273" s="128"/>
      <c r="G273" s="128"/>
      <c r="H273" s="128"/>
      <c r="I273" s="128"/>
      <c r="J273" s="128"/>
      <c r="K273" s="129"/>
      <c r="L273" s="58"/>
      <c r="M273" s="307"/>
      <c r="N273" s="307"/>
      <c r="O273" s="307"/>
      <c r="P273" s="307"/>
      <c r="Q273" s="307"/>
      <c r="R273" s="307"/>
      <c r="S273" s="307"/>
      <c r="T273" s="307"/>
      <c r="U273" s="307"/>
      <c r="V273" s="307"/>
      <c r="W273" s="307"/>
      <c r="X273" s="58"/>
      <c r="Y273" s="58"/>
      <c r="Z273" s="58"/>
    </row>
    <row r="274" spans="1:26" ht="13.5">
      <c r="A274" s="58"/>
      <c r="B274" s="134" t="s">
        <v>400</v>
      </c>
      <c r="C274" s="128"/>
      <c r="D274" s="128"/>
      <c r="E274" s="128"/>
      <c r="F274" s="128"/>
      <c r="G274" s="128"/>
      <c r="H274" s="128"/>
      <c r="I274" s="128"/>
      <c r="J274" s="128"/>
      <c r="K274" s="129"/>
      <c r="L274" s="58"/>
      <c r="M274" s="307"/>
      <c r="N274" s="307"/>
      <c r="O274" s="307"/>
      <c r="P274" s="307"/>
      <c r="Q274" s="307"/>
      <c r="R274" s="307"/>
      <c r="S274" s="307"/>
      <c r="T274" s="307"/>
      <c r="U274" s="307"/>
      <c r="V274" s="307"/>
      <c r="W274" s="307"/>
      <c r="X274" s="58"/>
      <c r="Y274" s="58"/>
      <c r="Z274" s="58"/>
    </row>
    <row r="275" spans="1:26" ht="13.5">
      <c r="A275" s="58"/>
      <c r="B275" s="127" t="s">
        <v>401</v>
      </c>
      <c r="C275" s="128"/>
      <c r="D275" s="128"/>
      <c r="E275" s="128"/>
      <c r="F275" s="128"/>
      <c r="G275" s="128"/>
      <c r="H275" s="128"/>
      <c r="I275" s="128"/>
      <c r="J275" s="128"/>
      <c r="K275" s="129"/>
      <c r="L275" s="58"/>
      <c r="M275" s="307"/>
      <c r="N275" s="307"/>
      <c r="O275" s="307"/>
      <c r="P275" s="307"/>
      <c r="Q275" s="307"/>
      <c r="R275" s="307"/>
      <c r="S275" s="307"/>
      <c r="T275" s="307"/>
      <c r="U275" s="307"/>
      <c r="V275" s="307"/>
      <c r="W275" s="307"/>
      <c r="X275" s="58"/>
      <c r="Y275" s="58"/>
      <c r="Z275" s="58"/>
    </row>
    <row r="276" spans="1:26" ht="13.5">
      <c r="A276" s="58"/>
      <c r="B276" s="127" t="s">
        <v>402</v>
      </c>
      <c r="C276" s="128"/>
      <c r="D276" s="128"/>
      <c r="E276" s="128"/>
      <c r="F276" s="128"/>
      <c r="G276" s="128"/>
      <c r="H276" s="128"/>
      <c r="I276" s="128"/>
      <c r="J276" s="128"/>
      <c r="K276" s="129"/>
      <c r="L276" s="58"/>
      <c r="M276" s="307"/>
      <c r="N276" s="307"/>
      <c r="O276" s="307"/>
      <c r="P276" s="307"/>
      <c r="Q276" s="307"/>
      <c r="R276" s="307"/>
      <c r="S276" s="307"/>
      <c r="T276" s="307"/>
      <c r="U276" s="307"/>
      <c r="V276" s="307"/>
      <c r="W276" s="307"/>
      <c r="X276" s="58"/>
      <c r="Y276" s="58"/>
      <c r="Z276" s="58"/>
    </row>
    <row r="277" spans="1:26" ht="13.5">
      <c r="A277" s="58"/>
      <c r="B277" s="127" t="s">
        <v>403</v>
      </c>
      <c r="C277" s="128"/>
      <c r="D277" s="128"/>
      <c r="E277" s="128"/>
      <c r="F277" s="128"/>
      <c r="G277" s="128"/>
      <c r="H277" s="128"/>
      <c r="I277" s="128"/>
      <c r="J277" s="128"/>
      <c r="K277" s="129"/>
      <c r="L277" s="58"/>
      <c r="M277" s="307"/>
      <c r="N277" s="307"/>
      <c r="O277" s="307"/>
      <c r="P277" s="307"/>
      <c r="Q277" s="307"/>
      <c r="R277" s="307"/>
      <c r="S277" s="307"/>
      <c r="T277" s="307"/>
      <c r="U277" s="307"/>
      <c r="V277" s="307"/>
      <c r="W277" s="307"/>
      <c r="X277" s="58"/>
      <c r="Y277" s="58"/>
      <c r="Z277" s="58"/>
    </row>
    <row r="278" spans="1:26" ht="13.5">
      <c r="A278" s="58"/>
      <c r="B278" s="127" t="s">
        <v>404</v>
      </c>
      <c r="C278" s="128"/>
      <c r="D278" s="128"/>
      <c r="E278" s="128"/>
      <c r="F278" s="128"/>
      <c r="G278" s="128"/>
      <c r="H278" s="128"/>
      <c r="I278" s="128"/>
      <c r="J278" s="128"/>
      <c r="K278" s="129"/>
      <c r="L278" s="58"/>
      <c r="M278" s="307"/>
      <c r="N278" s="307"/>
      <c r="O278" s="307"/>
      <c r="P278" s="307"/>
      <c r="Q278" s="307"/>
      <c r="R278" s="307"/>
      <c r="S278" s="307"/>
      <c r="T278" s="307"/>
      <c r="U278" s="307"/>
      <c r="V278" s="307"/>
      <c r="W278" s="307"/>
      <c r="X278" s="58"/>
      <c r="Y278" s="58"/>
      <c r="Z278" s="58"/>
    </row>
    <row r="279" spans="1:26" ht="13.5">
      <c r="A279" s="58"/>
      <c r="B279" s="127"/>
      <c r="C279" s="128"/>
      <c r="D279" s="128"/>
      <c r="E279" s="128"/>
      <c r="F279" s="128"/>
      <c r="G279" s="128"/>
      <c r="H279" s="128"/>
      <c r="I279" s="128"/>
      <c r="J279" s="128"/>
      <c r="K279" s="129"/>
      <c r="L279" s="58"/>
      <c r="M279" s="307"/>
      <c r="N279" s="307"/>
      <c r="O279" s="307"/>
      <c r="P279" s="307"/>
      <c r="Q279" s="307"/>
      <c r="R279" s="307"/>
      <c r="S279" s="307"/>
      <c r="T279" s="307"/>
      <c r="U279" s="307"/>
      <c r="V279" s="307"/>
      <c r="W279" s="307"/>
      <c r="X279" s="58"/>
      <c r="Y279" s="58"/>
      <c r="Z279" s="58"/>
    </row>
    <row r="280" spans="1:26" ht="13.5">
      <c r="A280" s="58"/>
      <c r="B280" s="127" t="s">
        <v>333</v>
      </c>
      <c r="C280" s="128"/>
      <c r="D280" s="128"/>
      <c r="E280" s="128"/>
      <c r="F280" s="128"/>
      <c r="G280" s="128"/>
      <c r="H280" s="128"/>
      <c r="I280" s="128"/>
      <c r="J280" s="128"/>
      <c r="K280" s="129"/>
      <c r="L280" s="58"/>
      <c r="M280" s="307"/>
      <c r="N280" s="307"/>
      <c r="O280" s="307"/>
      <c r="P280" s="307"/>
      <c r="Q280" s="307"/>
      <c r="R280" s="307"/>
      <c r="S280" s="307"/>
      <c r="T280" s="307"/>
      <c r="U280" s="307"/>
      <c r="V280" s="307"/>
      <c r="W280" s="307"/>
      <c r="X280" s="58"/>
      <c r="Y280" s="58"/>
      <c r="Z280" s="58"/>
    </row>
    <row r="281" spans="1:26" ht="13.5">
      <c r="A281" s="58"/>
      <c r="B281" s="134" t="s">
        <v>334</v>
      </c>
      <c r="C281" s="128"/>
      <c r="D281" s="128"/>
      <c r="E281" s="128"/>
      <c r="F281" s="128"/>
      <c r="G281" s="128"/>
      <c r="H281" s="128"/>
      <c r="I281" s="128"/>
      <c r="J281" s="128"/>
      <c r="K281" s="129"/>
      <c r="L281" s="58"/>
      <c r="M281" s="307"/>
      <c r="N281" s="307"/>
      <c r="O281" s="307"/>
      <c r="P281" s="307"/>
      <c r="Q281" s="307"/>
      <c r="R281" s="307"/>
      <c r="S281" s="307"/>
      <c r="T281" s="307"/>
      <c r="U281" s="307"/>
      <c r="V281" s="307"/>
      <c r="W281" s="307"/>
      <c r="X281" s="58"/>
      <c r="Y281" s="58"/>
      <c r="Z281" s="58"/>
    </row>
    <row r="282" spans="1:26" ht="13.5">
      <c r="A282" s="58"/>
      <c r="B282" s="127" t="s">
        <v>335</v>
      </c>
      <c r="C282" s="128"/>
      <c r="D282" s="128"/>
      <c r="E282" s="128"/>
      <c r="F282" s="128"/>
      <c r="G282" s="128"/>
      <c r="H282" s="128"/>
      <c r="I282" s="128"/>
      <c r="J282" s="128"/>
      <c r="K282" s="129"/>
      <c r="L282" s="58"/>
      <c r="M282" s="307"/>
      <c r="N282" s="307"/>
      <c r="O282" s="307"/>
      <c r="P282" s="307"/>
      <c r="Q282" s="307"/>
      <c r="R282" s="307"/>
      <c r="S282" s="307"/>
      <c r="T282" s="307"/>
      <c r="U282" s="307"/>
      <c r="V282" s="307"/>
      <c r="W282" s="307"/>
      <c r="X282" s="58"/>
      <c r="Y282" s="58"/>
      <c r="Z282" s="58"/>
    </row>
    <row r="283" spans="1:26" ht="13.5">
      <c r="A283" s="58"/>
      <c r="B283" s="127" t="s">
        <v>337</v>
      </c>
      <c r="C283" s="128"/>
      <c r="D283" s="128"/>
      <c r="E283" s="128"/>
      <c r="F283" s="128"/>
      <c r="G283" s="128"/>
      <c r="H283" s="128"/>
      <c r="I283" s="128"/>
      <c r="J283" s="128"/>
      <c r="K283" s="129"/>
      <c r="L283" s="58"/>
      <c r="M283" s="307"/>
      <c r="N283" s="307"/>
      <c r="O283" s="307"/>
      <c r="P283" s="307"/>
      <c r="Q283" s="307"/>
      <c r="R283" s="307"/>
      <c r="S283" s="307"/>
      <c r="T283" s="307"/>
      <c r="U283" s="307"/>
      <c r="V283" s="307"/>
      <c r="W283" s="307"/>
      <c r="X283" s="58"/>
      <c r="Y283" s="58"/>
      <c r="Z283" s="58"/>
    </row>
    <row r="284" spans="2:23" ht="13.5">
      <c r="B284" s="127" t="s">
        <v>336</v>
      </c>
      <c r="C284" s="128"/>
      <c r="D284" s="128"/>
      <c r="E284" s="128"/>
      <c r="F284" s="128"/>
      <c r="G284" s="128"/>
      <c r="H284" s="128"/>
      <c r="I284" s="128"/>
      <c r="J284" s="128"/>
      <c r="K284" s="129"/>
      <c r="M284" s="307"/>
      <c r="N284" s="307"/>
      <c r="O284" s="307"/>
      <c r="P284" s="307"/>
      <c r="Q284" s="307"/>
      <c r="R284" s="307"/>
      <c r="S284" s="307"/>
      <c r="T284" s="307"/>
      <c r="U284" s="307"/>
      <c r="V284" s="307"/>
      <c r="W284" s="307"/>
    </row>
    <row r="285" spans="2:23" ht="13.5">
      <c r="B285" s="127"/>
      <c r="C285" s="128"/>
      <c r="D285" s="128"/>
      <c r="E285" s="128"/>
      <c r="F285" s="128"/>
      <c r="G285" s="128"/>
      <c r="H285" s="128"/>
      <c r="I285" s="128"/>
      <c r="J285" s="128"/>
      <c r="K285" s="129"/>
      <c r="M285" s="307"/>
      <c r="N285" s="307"/>
      <c r="O285" s="307"/>
      <c r="P285" s="307"/>
      <c r="Q285" s="307"/>
      <c r="R285" s="307"/>
      <c r="S285" s="307"/>
      <c r="T285" s="307"/>
      <c r="U285" s="307"/>
      <c r="V285" s="307"/>
      <c r="W285" s="307"/>
    </row>
    <row r="286" spans="2:23" ht="13.5">
      <c r="B286" s="127" t="s">
        <v>277</v>
      </c>
      <c r="C286" s="128"/>
      <c r="D286" s="128"/>
      <c r="E286" s="128"/>
      <c r="F286" s="128"/>
      <c r="G286" s="128"/>
      <c r="H286" s="128"/>
      <c r="I286" s="128"/>
      <c r="J286" s="128"/>
      <c r="K286" s="129"/>
      <c r="M286" s="307"/>
      <c r="N286" s="307"/>
      <c r="O286" s="307"/>
      <c r="P286" s="307"/>
      <c r="Q286" s="307"/>
      <c r="R286" s="307"/>
      <c r="S286" s="307"/>
      <c r="T286" s="307"/>
      <c r="U286" s="307"/>
      <c r="V286" s="307"/>
      <c r="W286" s="307"/>
    </row>
    <row r="287" spans="2:23" ht="13.5">
      <c r="B287" s="134" t="s">
        <v>278</v>
      </c>
      <c r="C287" s="128"/>
      <c r="D287" s="128"/>
      <c r="E287" s="128"/>
      <c r="F287" s="128"/>
      <c r="G287" s="128"/>
      <c r="H287" s="128"/>
      <c r="I287" s="128"/>
      <c r="J287" s="128"/>
      <c r="K287" s="129"/>
      <c r="M287" s="307"/>
      <c r="N287" s="307"/>
      <c r="O287" s="307"/>
      <c r="P287" s="307"/>
      <c r="Q287" s="307"/>
      <c r="R287" s="307"/>
      <c r="S287" s="307"/>
      <c r="T287" s="307"/>
      <c r="U287" s="307"/>
      <c r="V287" s="307"/>
      <c r="W287" s="307"/>
    </row>
    <row r="288" spans="2:23" ht="13.5">
      <c r="B288" s="135" t="s">
        <v>271</v>
      </c>
      <c r="C288" s="128"/>
      <c r="D288" s="128"/>
      <c r="E288" s="128"/>
      <c r="F288" s="128"/>
      <c r="G288" s="128"/>
      <c r="H288" s="128"/>
      <c r="I288" s="128"/>
      <c r="J288" s="128"/>
      <c r="K288" s="129"/>
      <c r="M288" s="307"/>
      <c r="N288" s="307"/>
      <c r="O288" s="307"/>
      <c r="P288" s="307"/>
      <c r="Q288" s="307"/>
      <c r="R288" s="307"/>
      <c r="S288" s="307"/>
      <c r="T288" s="307"/>
      <c r="U288" s="307"/>
      <c r="V288" s="307"/>
      <c r="W288" s="307"/>
    </row>
    <row r="289" spans="2:23" ht="13.5">
      <c r="B289" s="135" t="s">
        <v>272</v>
      </c>
      <c r="C289" s="128"/>
      <c r="D289" s="128"/>
      <c r="E289" s="128"/>
      <c r="F289" s="128"/>
      <c r="G289" s="128"/>
      <c r="H289" s="128"/>
      <c r="I289" s="128"/>
      <c r="J289" s="128"/>
      <c r="K289" s="129"/>
      <c r="M289" s="307"/>
      <c r="N289" s="307"/>
      <c r="O289" s="307"/>
      <c r="P289" s="307"/>
      <c r="Q289" s="307"/>
      <c r="R289" s="307"/>
      <c r="S289" s="307"/>
      <c r="T289" s="307"/>
      <c r="U289" s="307"/>
      <c r="V289" s="307"/>
      <c r="W289" s="307"/>
    </row>
    <row r="290" spans="2:23" ht="13.5">
      <c r="B290" s="134"/>
      <c r="C290" s="128"/>
      <c r="D290" s="128"/>
      <c r="E290" s="128"/>
      <c r="F290" s="128"/>
      <c r="G290" s="128"/>
      <c r="H290" s="128"/>
      <c r="I290" s="128"/>
      <c r="J290" s="128"/>
      <c r="K290" s="129"/>
      <c r="M290" s="307"/>
      <c r="N290" s="307"/>
      <c r="O290" s="307"/>
      <c r="P290" s="307"/>
      <c r="Q290" s="307"/>
      <c r="R290" s="307"/>
      <c r="S290" s="307"/>
      <c r="T290" s="307"/>
      <c r="U290" s="307"/>
      <c r="V290" s="307"/>
      <c r="W290" s="307"/>
    </row>
    <row r="291" spans="2:23" ht="13.5">
      <c r="B291" s="134" t="s">
        <v>279</v>
      </c>
      <c r="C291" s="128"/>
      <c r="D291" s="128"/>
      <c r="E291" s="128"/>
      <c r="F291" s="128"/>
      <c r="G291" s="128"/>
      <c r="H291" s="128"/>
      <c r="I291" s="128"/>
      <c r="J291" s="128"/>
      <c r="K291" s="129"/>
      <c r="M291" s="307"/>
      <c r="N291" s="307"/>
      <c r="O291" s="307"/>
      <c r="P291" s="307"/>
      <c r="Q291" s="307"/>
      <c r="R291" s="307"/>
      <c r="S291" s="307"/>
      <c r="T291" s="307"/>
      <c r="U291" s="307"/>
      <c r="V291" s="307"/>
      <c r="W291" s="307"/>
    </row>
    <row r="292" spans="2:23" ht="13.5">
      <c r="B292" s="134" t="s">
        <v>280</v>
      </c>
      <c r="C292" s="128"/>
      <c r="D292" s="128"/>
      <c r="E292" s="128"/>
      <c r="F292" s="128"/>
      <c r="G292" s="128"/>
      <c r="H292" s="128"/>
      <c r="I292" s="128"/>
      <c r="J292" s="128"/>
      <c r="K292" s="129"/>
      <c r="M292" s="307"/>
      <c r="N292" s="307"/>
      <c r="O292" s="307"/>
      <c r="P292" s="307"/>
      <c r="Q292" s="307"/>
      <c r="R292" s="307"/>
      <c r="S292" s="307"/>
      <c r="T292" s="307"/>
      <c r="U292" s="307"/>
      <c r="V292" s="307"/>
      <c r="W292" s="307"/>
    </row>
    <row r="293" spans="2:23" ht="13.5">
      <c r="B293" s="135" t="s">
        <v>273</v>
      </c>
      <c r="C293" s="128"/>
      <c r="D293" s="128"/>
      <c r="E293" s="128"/>
      <c r="F293" s="128"/>
      <c r="G293" s="128"/>
      <c r="H293" s="128"/>
      <c r="I293" s="128"/>
      <c r="J293" s="128"/>
      <c r="K293" s="129"/>
      <c r="M293" s="307"/>
      <c r="N293" s="307"/>
      <c r="O293" s="307"/>
      <c r="P293" s="307"/>
      <c r="Q293" s="307"/>
      <c r="R293" s="307"/>
      <c r="S293" s="307"/>
      <c r="T293" s="307"/>
      <c r="U293" s="307"/>
      <c r="V293" s="307"/>
      <c r="W293" s="307"/>
    </row>
    <row r="294" spans="2:23" ht="13.5">
      <c r="B294" s="135"/>
      <c r="C294" s="128"/>
      <c r="D294" s="128"/>
      <c r="E294" s="128"/>
      <c r="F294" s="128"/>
      <c r="G294" s="128"/>
      <c r="H294" s="128"/>
      <c r="I294" s="128"/>
      <c r="J294" s="128"/>
      <c r="K294" s="129"/>
      <c r="M294" s="307"/>
      <c r="N294" s="307"/>
      <c r="O294" s="307"/>
      <c r="P294" s="307"/>
      <c r="Q294" s="307"/>
      <c r="R294" s="307"/>
      <c r="S294" s="307"/>
      <c r="T294" s="307"/>
      <c r="U294" s="307"/>
      <c r="V294" s="307"/>
      <c r="W294" s="307"/>
    </row>
    <row r="295" spans="2:23" ht="14.25" thickBot="1">
      <c r="B295" s="136"/>
      <c r="C295" s="137"/>
      <c r="D295" s="137"/>
      <c r="E295" s="137"/>
      <c r="F295" s="137"/>
      <c r="G295" s="137"/>
      <c r="H295" s="137"/>
      <c r="I295" s="137"/>
      <c r="J295" s="137"/>
      <c r="K295" s="138"/>
      <c r="M295" s="307"/>
      <c r="N295" s="307"/>
      <c r="O295" s="307"/>
      <c r="P295" s="307"/>
      <c r="Q295" s="307"/>
      <c r="R295" s="307"/>
      <c r="S295" s="307"/>
      <c r="T295" s="307"/>
      <c r="U295" s="307"/>
      <c r="V295" s="307"/>
      <c r="W295" s="307"/>
    </row>
    <row r="296" spans="13:23" ht="13.5">
      <c r="M296" s="307"/>
      <c r="N296" s="307"/>
      <c r="O296" s="307"/>
      <c r="P296" s="307"/>
      <c r="Q296" s="307"/>
      <c r="R296" s="307"/>
      <c r="S296" s="307"/>
      <c r="T296" s="307"/>
      <c r="U296" s="307"/>
      <c r="V296" s="307"/>
      <c r="W296" s="307"/>
    </row>
    <row r="297" spans="13:23" ht="13.5">
      <c r="M297" s="307"/>
      <c r="N297" s="307"/>
      <c r="O297" s="307"/>
      <c r="P297" s="307"/>
      <c r="Q297" s="307"/>
      <c r="R297" s="307"/>
      <c r="S297" s="307"/>
      <c r="T297" s="307"/>
      <c r="U297" s="307"/>
      <c r="V297" s="307"/>
      <c r="W297" s="307"/>
    </row>
    <row r="298" spans="13:23" ht="13.5">
      <c r="M298" s="307"/>
      <c r="N298" s="307"/>
      <c r="O298" s="307"/>
      <c r="P298" s="307"/>
      <c r="Q298" s="307"/>
      <c r="R298" s="307"/>
      <c r="S298" s="307"/>
      <c r="T298" s="307"/>
      <c r="U298" s="307"/>
      <c r="V298" s="307"/>
      <c r="W298" s="307"/>
    </row>
    <row r="299" spans="13:23" ht="13.5">
      <c r="M299" s="307"/>
      <c r="N299" s="307"/>
      <c r="O299" s="307"/>
      <c r="P299" s="307"/>
      <c r="Q299" s="307"/>
      <c r="R299" s="307"/>
      <c r="S299" s="307"/>
      <c r="T299" s="307"/>
      <c r="U299" s="307"/>
      <c r="V299" s="307"/>
      <c r="W299" s="307"/>
    </row>
  </sheetData>
  <sheetProtection password="CCE3" sheet="1" objects="1" scenarios="1" selectLockedCells="1"/>
  <mergeCells count="14">
    <mergeCell ref="M93:W93"/>
    <mergeCell ref="M94:W94"/>
    <mergeCell ref="B8:K8"/>
    <mergeCell ref="B9:K9"/>
    <mergeCell ref="B11:K11"/>
    <mergeCell ref="B12:K12"/>
    <mergeCell ref="B45:K45"/>
    <mergeCell ref="B14:K14"/>
    <mergeCell ref="B18:K18"/>
    <mergeCell ref="B17:K17"/>
    <mergeCell ref="M2:W2"/>
    <mergeCell ref="B2:K2"/>
    <mergeCell ref="B3:K3"/>
    <mergeCell ref="B7:K7"/>
  </mergeCells>
  <hyperlinks>
    <hyperlink ref="D81" r:id="rId1" display="f2d_10l@hotmail.com"/>
    <hyperlink ref="H80" r:id="rId2" display="http://f2d10l.exblog.jp/7485878/"/>
    <hyperlink ref="D80" r:id="rId3" display="http://f2d10l.exblog.jp/"/>
  </hyperlinks>
  <printOptions/>
  <pageMargins left="0.75" right="0.75" top="1" bottom="1" header="0.512" footer="0.512"/>
  <pageSetup horizontalDpi="300" verticalDpi="300" orientation="portrait" paperSize="9" r:id="rId4"/>
</worksheet>
</file>

<file path=xl/worksheets/sheet2.xml><?xml version="1.0" encoding="utf-8"?>
<worksheet xmlns="http://schemas.openxmlformats.org/spreadsheetml/2006/main" xmlns:r="http://schemas.openxmlformats.org/officeDocument/2006/relationships">
  <dimension ref="A1:AC74"/>
  <sheetViews>
    <sheetView workbookViewId="0" topLeftCell="A1">
      <selection activeCell="A1" sqref="A1"/>
    </sheetView>
  </sheetViews>
  <sheetFormatPr defaultColWidth="9.00390625" defaultRowHeight="13.5"/>
  <cols>
    <col min="1" max="1" width="2.625" style="0" customWidth="1"/>
    <col min="2" max="11" width="5.625" style="0" customWidth="1"/>
    <col min="12" max="13" width="2.625" style="0" customWidth="1"/>
    <col min="18" max="18" width="9.50390625" style="0" bestFit="1" customWidth="1"/>
    <col min="22" max="22" width="2.125" style="0" customWidth="1"/>
    <col min="23" max="29" width="10.625" style="0" customWidth="1"/>
  </cols>
  <sheetData>
    <row r="1" spans="6:16" ht="24.75" thickBot="1">
      <c r="F1" s="990" t="str">
        <f>IF(B4="片手剣","パラディン",IF(B4="両手剣","パラディン",IF(B4="片手鈍器","パラディン",IF(B4="両手鈍器","パラディン","！武器の種類の入力エラー！"))))</f>
        <v>パラディン</v>
      </c>
      <c r="G1" s="990"/>
      <c r="H1" s="990"/>
      <c r="I1" s="990"/>
      <c r="J1" s="990"/>
      <c r="K1" s="990"/>
      <c r="L1" s="990"/>
      <c r="M1" s="990"/>
      <c r="N1" s="990"/>
      <c r="O1" s="990"/>
      <c r="P1" s="990"/>
    </row>
    <row r="2" spans="2:27" ht="14.25" thickBot="1">
      <c r="B2" s="1078" t="s">
        <v>37</v>
      </c>
      <c r="C2" s="1094"/>
      <c r="D2" s="2">
        <v>150</v>
      </c>
      <c r="E2" s="1"/>
      <c r="F2" s="3" t="s">
        <v>129</v>
      </c>
      <c r="G2" s="3" t="s">
        <v>38</v>
      </c>
      <c r="H2" s="3" t="s">
        <v>39</v>
      </c>
      <c r="I2" s="3" t="s">
        <v>1115</v>
      </c>
      <c r="J2" s="3" t="s">
        <v>1116</v>
      </c>
      <c r="K2" s="26" t="s">
        <v>430</v>
      </c>
      <c r="N2" s="991" t="str">
        <f>IF(B4="片手剣","攻撃力",IF(B4="両手剣","攻撃力",IF(B4="片手鈍器","攻撃力",IF(B4="両手鈍器","攻撃力","！武器の種類の入力エラー！"))))</f>
        <v>攻撃力</v>
      </c>
      <c r="O2" s="992"/>
      <c r="P2" s="987"/>
      <c r="R2" s="1101" t="s">
        <v>418</v>
      </c>
      <c r="S2" s="1102"/>
      <c r="T2" s="1103"/>
      <c r="W2" s="1165" t="s">
        <v>1211</v>
      </c>
      <c r="X2" s="1166"/>
      <c r="Y2" s="1166"/>
      <c r="Z2" s="1166"/>
      <c r="AA2" s="1167"/>
    </row>
    <row r="3" spans="2:27" ht="14.25" thickBot="1">
      <c r="B3" s="7" t="s">
        <v>40</v>
      </c>
      <c r="C3" s="569"/>
      <c r="D3" s="6">
        <f>((D2-1)*5+IF(D2&gt;=120,35,IF(D2&gt;=70,30,25)))-(G3+H3+I3+J3)</f>
        <v>0</v>
      </c>
      <c r="E3" s="7" t="s">
        <v>41</v>
      </c>
      <c r="F3" s="8"/>
      <c r="G3" s="8">
        <v>768</v>
      </c>
      <c r="H3" s="8">
        <v>4</v>
      </c>
      <c r="I3" s="8">
        <v>4</v>
      </c>
      <c r="J3" s="8">
        <v>4</v>
      </c>
      <c r="K3" s="9"/>
      <c r="N3" s="10" t="s">
        <v>69</v>
      </c>
      <c r="O3" s="11" t="s">
        <v>70</v>
      </c>
      <c r="P3" s="12" t="s">
        <v>71</v>
      </c>
      <c r="R3" s="1" t="s">
        <v>69</v>
      </c>
      <c r="S3" s="3" t="s">
        <v>70</v>
      </c>
      <c r="T3" s="4" t="s">
        <v>71</v>
      </c>
      <c r="W3" s="444"/>
      <c r="X3" s="442" t="s">
        <v>314</v>
      </c>
      <c r="Y3" s="451" t="s">
        <v>1193</v>
      </c>
      <c r="Z3" s="899" t="s">
        <v>1194</v>
      </c>
      <c r="AA3" s="443" t="s">
        <v>1196</v>
      </c>
    </row>
    <row r="4" spans="2:27" ht="14.25" thickBot="1">
      <c r="B4" s="1168" t="s">
        <v>453</v>
      </c>
      <c r="C4" s="1169"/>
      <c r="D4" s="1169"/>
      <c r="E4" s="7" t="s">
        <v>42</v>
      </c>
      <c r="F4" s="8">
        <v>115</v>
      </c>
      <c r="G4" s="8">
        <v>11</v>
      </c>
      <c r="H4" s="8"/>
      <c r="I4" s="8"/>
      <c r="J4" s="8"/>
      <c r="K4" s="9"/>
      <c r="N4" s="14">
        <f>P4*D10</f>
        <v>9515.469599999999</v>
      </c>
      <c r="O4" s="15">
        <f>(P4+N4)/2</f>
        <v>9819.154799999998</v>
      </c>
      <c r="P4" s="16">
        <f>$Q$4*($F$28+INT(($F$28-$F$25)*$E$31)+INT($F$28*($K$41+$K$50-1)))/100</f>
        <v>10122.839999999998</v>
      </c>
      <c r="Q4" s="422">
        <f>IF(OR($B$4="片手剣",$B$4="片手鈍器"),1.2,1.32)*(4*$G$28+$H$28)</f>
        <v>4820.4</v>
      </c>
      <c r="R4" s="14">
        <f>N4*$G$47*(1-$G$44/100)</f>
        <v>7136.602199999999</v>
      </c>
      <c r="S4" s="15">
        <f>O4*$G$47*(1-$G$44/100)</f>
        <v>7364.366099999999</v>
      </c>
      <c r="T4" s="16">
        <f>P4*$G$47*(1-$G$44/100)</f>
        <v>7592.129999999999</v>
      </c>
      <c r="W4" s="445" t="s">
        <v>868</v>
      </c>
      <c r="X4" s="452">
        <f>X5*1.5</f>
        <v>1.875</v>
      </c>
      <c r="Y4" s="453">
        <f>Y5*1.5</f>
        <v>1.7999999999999998</v>
      </c>
      <c r="Z4" s="900">
        <f>Z5*1.5</f>
        <v>1.9500000000000002</v>
      </c>
      <c r="AA4" s="454">
        <f>AA5*1.5</f>
        <v>2.055</v>
      </c>
    </row>
    <row r="5" spans="1:27" ht="14.25" thickBot="1">
      <c r="A5" s="711">
        <f>MAX($D$5-$K$37,4)</f>
        <v>4</v>
      </c>
      <c r="B5" s="169" t="s">
        <v>43</v>
      </c>
      <c r="C5" s="416"/>
      <c r="D5" s="170">
        <v>4</v>
      </c>
      <c r="E5" s="7" t="s">
        <v>44</v>
      </c>
      <c r="F5" s="8">
        <v>18</v>
      </c>
      <c r="G5" s="8">
        <v>9</v>
      </c>
      <c r="H5" s="8"/>
      <c r="I5" s="8"/>
      <c r="J5" s="8"/>
      <c r="K5" s="9"/>
      <c r="N5" s="22"/>
      <c r="O5" s="22"/>
      <c r="P5" s="22"/>
      <c r="Q5" s="422"/>
      <c r="R5" s="22"/>
      <c r="S5" s="22"/>
      <c r="T5" s="22"/>
      <c r="W5" s="446" t="s">
        <v>869</v>
      </c>
      <c r="X5" s="455">
        <v>1.25</v>
      </c>
      <c r="Y5" s="456">
        <v>1.2</v>
      </c>
      <c r="Z5" s="901">
        <v>1.3</v>
      </c>
      <c r="AA5" s="457">
        <f>(115+D7)/100</f>
        <v>1.37</v>
      </c>
    </row>
    <row r="6" spans="2:27" ht="14.25" thickBot="1">
      <c r="B6" s="1" t="s">
        <v>207</v>
      </c>
      <c r="C6" s="3"/>
      <c r="D6" s="2">
        <v>32</v>
      </c>
      <c r="E6" s="7" t="s">
        <v>45</v>
      </c>
      <c r="F6" s="8"/>
      <c r="G6" s="8">
        <v>10</v>
      </c>
      <c r="H6" s="8">
        <v>16</v>
      </c>
      <c r="I6" s="8">
        <v>10</v>
      </c>
      <c r="J6" s="8">
        <v>10</v>
      </c>
      <c r="K6" s="9">
        <v>22</v>
      </c>
      <c r="N6" s="1" t="s">
        <v>692</v>
      </c>
      <c r="O6" s="149"/>
      <c r="P6" s="1203" t="str">
        <f>IF($D$16=1,"ディバインチャージ",IF($D$16=2,"ファイアチャージ",IF($D$16=3,"アイスチャージ",IF($D$16=4,"サンダーチャージ",""))))</f>
        <v>ディバインチャージ</v>
      </c>
      <c r="Q6" s="1204"/>
      <c r="R6" s="743" t="str">
        <f>IF($D$16=5,"チャージなし(無属性)",IF(AND($L$17="true",$D$16=4,),"",IF($L$17="true","＋サンダーチャージ","のみ")))</f>
        <v>＋サンダーチャージ</v>
      </c>
      <c r="S6" s="238"/>
      <c r="T6" s="677" t="s">
        <v>865</v>
      </c>
      <c r="U6" s="1216">
        <f>HLOOKUP($D$16,$X$20:$AB$28,$D$15)</f>
        <v>1.495</v>
      </c>
      <c r="V6" s="939"/>
      <c r="W6" s="447" t="s">
        <v>870</v>
      </c>
      <c r="X6" s="458">
        <f>X5*0.5</f>
        <v>0.625</v>
      </c>
      <c r="Y6" s="459">
        <f>Y5*0.5</f>
        <v>0.6</v>
      </c>
      <c r="Z6" s="902">
        <f>Z5*0.5</f>
        <v>0.65</v>
      </c>
      <c r="AA6" s="460">
        <f>AA5*0.5</f>
        <v>0.685</v>
      </c>
    </row>
    <row r="7" spans="2:27" ht="14.25" thickBot="1">
      <c r="B7" s="7" t="s">
        <v>75</v>
      </c>
      <c r="C7" s="44"/>
      <c r="D7" s="618">
        <v>22</v>
      </c>
      <c r="E7" s="7" t="s">
        <v>46</v>
      </c>
      <c r="F7" s="8"/>
      <c r="G7" s="8"/>
      <c r="H7" s="8">
        <v>7</v>
      </c>
      <c r="I7" s="8"/>
      <c r="J7" s="8"/>
      <c r="K7" s="9"/>
      <c r="N7" s="14" t="s">
        <v>864</v>
      </c>
      <c r="O7" s="47"/>
      <c r="P7" s="937" t="str">
        <f>IF($D$16=1,"聖",IF($D$16=2,"火",IF($D$16=3,"氷",IF($D$16=4,"雷",""))))</f>
        <v>聖</v>
      </c>
      <c r="Q7" s="938" t="str">
        <f>IF($D$16=5,"",IF($L$23="true","弱点","通常"))</f>
        <v>通常</v>
      </c>
      <c r="R7" s="937" t="str">
        <f>IF(OR(D16=5,D16=4),"",IF(L17="true","雷",""))</f>
        <v>雷</v>
      </c>
      <c r="S7" s="757" t="str">
        <f>IF(OR($D$16=4,$D$16=5),"",IF($L$17="true",IF($L$24="true","弱点",IF($L$25="true","耐性","通常")),""))</f>
        <v>通常</v>
      </c>
      <c r="T7" s="897" t="s">
        <v>866</v>
      </c>
      <c r="U7" s="1217"/>
      <c r="W7" s="448"/>
      <c r="X7" s="461"/>
      <c r="Y7" s="462" t="s">
        <v>1205</v>
      </c>
      <c r="Z7" s="903" t="s">
        <v>1204</v>
      </c>
      <c r="AA7" s="463" t="s">
        <v>1203</v>
      </c>
    </row>
    <row r="8" spans="2:27" ht="14.25" customHeight="1" thickBot="1">
      <c r="B8" s="5" t="s">
        <v>628</v>
      </c>
      <c r="C8" s="69"/>
      <c r="D8" s="515">
        <v>3</v>
      </c>
      <c r="E8" s="7" t="s">
        <v>47</v>
      </c>
      <c r="F8" s="8">
        <v>2</v>
      </c>
      <c r="G8" s="8"/>
      <c r="H8" s="8">
        <v>2</v>
      </c>
      <c r="I8" s="8"/>
      <c r="J8" s="8"/>
      <c r="K8" s="9">
        <v>7</v>
      </c>
      <c r="N8" s="421"/>
      <c r="O8" s="421"/>
      <c r="S8" s="421"/>
      <c r="V8" s="64"/>
      <c r="W8" s="445" t="s">
        <v>871</v>
      </c>
      <c r="X8" s="464" t="s">
        <v>314</v>
      </c>
      <c r="Y8" s="468">
        <f>Y4+$X$5/10*1.25</f>
        <v>1.9562499999999998</v>
      </c>
      <c r="Z8" s="904">
        <f>Z4+$X$5/10*1.25</f>
        <v>2.10625</v>
      </c>
      <c r="AA8" s="469">
        <f>AA4+$X$5/10*1.25</f>
        <v>2.21125</v>
      </c>
    </row>
    <row r="9" spans="2:27" ht="14.25" thickBot="1">
      <c r="B9" s="37" t="s">
        <v>664</v>
      </c>
      <c r="C9" s="654"/>
      <c r="D9" s="2">
        <v>12</v>
      </c>
      <c r="E9" s="7" t="s">
        <v>48</v>
      </c>
      <c r="F9" s="8"/>
      <c r="G9" s="8">
        <v>7</v>
      </c>
      <c r="H9" s="8">
        <v>7</v>
      </c>
      <c r="I9" s="8">
        <v>7</v>
      </c>
      <c r="J9" s="8">
        <v>7</v>
      </c>
      <c r="K9" s="9"/>
      <c r="N9" s="977" t="s">
        <v>1114</v>
      </c>
      <c r="O9" s="978"/>
      <c r="P9" s="978"/>
      <c r="Q9" s="978"/>
      <c r="R9" s="1196"/>
      <c r="S9" s="1196"/>
      <c r="T9" s="169" t="s">
        <v>66</v>
      </c>
      <c r="U9" s="182">
        <f>IF(A5=4,94,IF(A5=5,83,IF(A5=6,79,IF(A5=7,73,IF(A5=8,70,0)))))</f>
        <v>94</v>
      </c>
      <c r="V9" s="65"/>
      <c r="W9" s="446" t="s">
        <v>872</v>
      </c>
      <c r="X9" s="464" t="s">
        <v>1197</v>
      </c>
      <c r="Y9" s="470">
        <f>Y5+$X$5/10*1.5</f>
        <v>1.3875</v>
      </c>
      <c r="Z9" s="905">
        <f>Z5+$X$5/10*1.5</f>
        <v>1.4875</v>
      </c>
      <c r="AA9" s="471">
        <f>AA5+$X$5/10*1.5</f>
        <v>1.5575</v>
      </c>
    </row>
    <row r="10" spans="2:27" ht="14.25" thickBot="1">
      <c r="B10" s="54" t="s">
        <v>113</v>
      </c>
      <c r="C10" s="15"/>
      <c r="D10" s="82">
        <f>(50+2*O20)/100+0.2</f>
        <v>0.94</v>
      </c>
      <c r="E10" s="7" t="s">
        <v>49</v>
      </c>
      <c r="F10" s="8"/>
      <c r="G10" s="8"/>
      <c r="H10" s="8">
        <v>6</v>
      </c>
      <c r="I10" s="8"/>
      <c r="J10" s="8"/>
      <c r="K10" s="9"/>
      <c r="N10" s="24" t="s">
        <v>37</v>
      </c>
      <c r="O10" s="83">
        <f>D6</f>
        <v>32</v>
      </c>
      <c r="P10" s="1115" t="s">
        <v>1051</v>
      </c>
      <c r="Q10" s="1116"/>
      <c r="R10" s="750">
        <f>(220+2*O10)/100</f>
        <v>2.84</v>
      </c>
      <c r="S10" s="1184" t="s">
        <v>332</v>
      </c>
      <c r="T10" s="1185"/>
      <c r="U10" s="940">
        <f>R10*U6</f>
        <v>4.2458</v>
      </c>
      <c r="W10" s="447" t="s">
        <v>873</v>
      </c>
      <c r="X10" s="464" t="s">
        <v>1198</v>
      </c>
      <c r="Y10" s="472">
        <f>Y5*0.5+$X$5/10*1.25</f>
        <v>0.75625</v>
      </c>
      <c r="Z10" s="906">
        <f>Z5*0.5+$X$5/10*1.25</f>
        <v>0.80625</v>
      </c>
      <c r="AA10" s="473">
        <f>AA5*0.5+$X$5/10*1.25</f>
        <v>0.84125</v>
      </c>
    </row>
    <row r="11" spans="2:27" ht="14.25" thickBot="1">
      <c r="B11" s="23"/>
      <c r="C11" s="22"/>
      <c r="D11" s="410"/>
      <c r="E11" s="7" t="s">
        <v>390</v>
      </c>
      <c r="F11" s="8"/>
      <c r="G11" s="8"/>
      <c r="H11" s="8"/>
      <c r="I11" s="8"/>
      <c r="J11" s="8"/>
      <c r="K11" s="9"/>
      <c r="N11" s="17" t="s">
        <v>1096</v>
      </c>
      <c r="O11" s="750">
        <f>(20+O10)/100</f>
        <v>0.52</v>
      </c>
      <c r="P11" s="1218" t="s">
        <v>98</v>
      </c>
      <c r="Q11" s="1219"/>
      <c r="R11" s="858">
        <f>(5+ROUNDUP(O10/2,0))/100</f>
        <v>0.21</v>
      </c>
      <c r="S11" s="1068" t="s">
        <v>867</v>
      </c>
      <c r="T11" s="1036"/>
      <c r="U11" s="942">
        <f>(5+ROUNDUP(O10/2,0))/100</f>
        <v>0.21</v>
      </c>
      <c r="W11" s="449" t="s">
        <v>871</v>
      </c>
      <c r="X11" s="465" t="s">
        <v>314</v>
      </c>
      <c r="Y11" s="474">
        <f>Y5*1.5+$X$5/10</f>
        <v>1.9249999999999998</v>
      </c>
      <c r="Z11" s="907">
        <f>Z5*1.5+$X$5/10</f>
        <v>2.075</v>
      </c>
      <c r="AA11" s="475">
        <f>AA5*1.5+$X$5/10</f>
        <v>2.18</v>
      </c>
    </row>
    <row r="12" spans="2:27" ht="13.5" customHeight="1">
      <c r="B12" s="23"/>
      <c r="C12" s="22"/>
      <c r="D12" s="22"/>
      <c r="E12" s="7" t="s">
        <v>339</v>
      </c>
      <c r="F12" s="8"/>
      <c r="G12" s="8">
        <v>20</v>
      </c>
      <c r="H12" s="8">
        <v>3</v>
      </c>
      <c r="I12" s="8"/>
      <c r="J12" s="8"/>
      <c r="K12" s="9">
        <v>5</v>
      </c>
      <c r="L12" s="22"/>
      <c r="M12" s="22"/>
      <c r="N12" s="1170" t="s">
        <v>729</v>
      </c>
      <c r="O12" s="928" t="s">
        <v>420</v>
      </c>
      <c r="P12" s="929">
        <f>MIN(INT(($N$4*$G$48*U10)*(1+$B$33+$E$33+$B$51)),ReadMe!$M$94)</f>
        <v>32421</v>
      </c>
      <c r="Q12" s="1158" t="s">
        <v>421</v>
      </c>
      <c r="R12" s="930" t="s">
        <v>420</v>
      </c>
      <c r="S12" s="941">
        <f>MIN(INT(P12*($E$41+$U$11)),ReadMe!$M$94)</f>
        <v>45713</v>
      </c>
      <c r="T12" s="1173" t="s">
        <v>730</v>
      </c>
      <c r="U12" s="1176">
        <f>INT(P13*(1-($G$41+$O$11))+S13*($G$41+$O$11))</f>
        <v>42158</v>
      </c>
      <c r="W12" s="446" t="s">
        <v>872</v>
      </c>
      <c r="X12" s="464" t="s">
        <v>1199</v>
      </c>
      <c r="Y12" s="470">
        <f>Y5+$X$5/10</f>
        <v>1.325</v>
      </c>
      <c r="Z12" s="905">
        <f>Z5+$X$5/10</f>
        <v>1.425</v>
      </c>
      <c r="AA12" s="471">
        <f>AA5+$X$5/10</f>
        <v>1.495</v>
      </c>
    </row>
    <row r="13" spans="2:27" ht="14.25" thickBot="1">
      <c r="B13" s="23"/>
      <c r="C13" s="22"/>
      <c r="D13" s="22"/>
      <c r="E13" s="7" t="s">
        <v>389</v>
      </c>
      <c r="F13" s="8"/>
      <c r="G13" s="8">
        <v>14</v>
      </c>
      <c r="H13" s="8">
        <v>5</v>
      </c>
      <c r="I13" s="8"/>
      <c r="J13" s="8"/>
      <c r="K13" s="9">
        <v>5</v>
      </c>
      <c r="N13" s="1171"/>
      <c r="O13" s="923" t="s">
        <v>423</v>
      </c>
      <c r="P13" s="377">
        <f>INT((P12+P14)/2)</f>
        <v>33456</v>
      </c>
      <c r="Q13" s="1159"/>
      <c r="R13" s="924" t="s">
        <v>423</v>
      </c>
      <c r="S13" s="922">
        <f>INT((S12+S14)/2)</f>
        <v>48724</v>
      </c>
      <c r="T13" s="1161"/>
      <c r="U13" s="1150"/>
      <c r="W13" s="450" t="s">
        <v>873</v>
      </c>
      <c r="X13" s="466" t="s">
        <v>1200</v>
      </c>
      <c r="Y13" s="476">
        <f>Y5*0.5+$X$5/10</f>
        <v>0.725</v>
      </c>
      <c r="Z13" s="908">
        <f>Z5*0.5+$X$5/10</f>
        <v>0.775</v>
      </c>
      <c r="AA13" s="477">
        <f>AA5*0.5+$X$5/10</f>
        <v>0.81</v>
      </c>
    </row>
    <row r="14" spans="2:27" ht="14.25" thickBot="1">
      <c r="B14" s="23"/>
      <c r="C14" s="22"/>
      <c r="D14" s="22"/>
      <c r="E14" s="7" t="s">
        <v>59</v>
      </c>
      <c r="F14" s="8"/>
      <c r="G14" s="8">
        <v>8</v>
      </c>
      <c r="H14" s="8">
        <v>13</v>
      </c>
      <c r="I14" s="8"/>
      <c r="J14" s="8"/>
      <c r="K14" s="9">
        <v>5</v>
      </c>
      <c r="N14" s="1172"/>
      <c r="O14" s="925" t="s">
        <v>424</v>
      </c>
      <c r="P14" s="926">
        <f>MIN(INT(($P$4*$G$48*U10)*(1+$B$33+$E$33+$B$51)),ReadMe!$M$94)</f>
        <v>34491</v>
      </c>
      <c r="Q14" s="1195"/>
      <c r="R14" s="936" t="s">
        <v>424</v>
      </c>
      <c r="S14" s="932">
        <f>MIN(INT(P14*$F$41),ReadMe!$M$94)</f>
        <v>51736</v>
      </c>
      <c r="T14" s="1162"/>
      <c r="U14" s="1151"/>
      <c r="W14" s="445" t="s">
        <v>871</v>
      </c>
      <c r="X14" s="464" t="s">
        <v>314</v>
      </c>
      <c r="Y14" s="468">
        <f>Y5*1.5+($X$5/10)*(0.5/1.2)</f>
        <v>1.852083333333333</v>
      </c>
      <c r="Z14" s="904">
        <f>Z5*1.5+($X$5/10)*(0.5/1.2)</f>
        <v>2.0020833333333337</v>
      </c>
      <c r="AA14" s="469">
        <f>AA5*1.5+($X$5/10)*(0.5/1.2)</f>
        <v>2.1070833333333336</v>
      </c>
    </row>
    <row r="15" spans="2:27" ht="14.25" thickBot="1">
      <c r="B15" s="23"/>
      <c r="D15" s="421">
        <f>M23+IF(L24="true",M24,M25)+M17</f>
        <v>7</v>
      </c>
      <c r="E15" s="7" t="s">
        <v>60</v>
      </c>
      <c r="F15" s="8">
        <v>15</v>
      </c>
      <c r="G15" s="8"/>
      <c r="H15" s="8"/>
      <c r="I15" s="8"/>
      <c r="J15" s="8"/>
      <c r="K15" s="9"/>
      <c r="M15" s="421"/>
      <c r="N15" s="1183" t="s">
        <v>805</v>
      </c>
      <c r="O15" s="927" t="s">
        <v>420</v>
      </c>
      <c r="P15" s="933">
        <f>P12*3</f>
        <v>97263</v>
      </c>
      <c r="Q15" s="550"/>
      <c r="R15" s="503"/>
      <c r="S15" s="1186">
        <f>(P16*$U$9+($U$9*0.4*U34))*$G$46</f>
        <v>12520461.6</v>
      </c>
      <c r="T15" s="1187"/>
      <c r="U15" s="1188"/>
      <c r="W15" s="446" t="s">
        <v>872</v>
      </c>
      <c r="X15" s="464" t="s">
        <v>1201</v>
      </c>
      <c r="Y15" s="470">
        <f>Y5+$X$5/10*0.5</f>
        <v>1.2625</v>
      </c>
      <c r="Z15" s="905">
        <f>Z5+$X$5/10*0.5</f>
        <v>1.3625</v>
      </c>
      <c r="AA15" s="471">
        <f>AA5+$X$5/10*0.5</f>
        <v>1.4325</v>
      </c>
    </row>
    <row r="16" spans="1:27" ht="14.25" thickBot="1">
      <c r="A16" s="421"/>
      <c r="B16" s="921" t="s">
        <v>692</v>
      </c>
      <c r="C16" s="912"/>
      <c r="D16" s="938">
        <v>1</v>
      </c>
      <c r="E16" s="7" t="s">
        <v>61</v>
      </c>
      <c r="F16" s="8">
        <v>4</v>
      </c>
      <c r="G16" s="8"/>
      <c r="H16" s="8">
        <v>8</v>
      </c>
      <c r="I16" s="8"/>
      <c r="J16" s="8"/>
      <c r="K16" s="9"/>
      <c r="L16" s="478"/>
      <c r="M16" s="484"/>
      <c r="N16" s="1171"/>
      <c r="O16" s="386" t="s">
        <v>423</v>
      </c>
      <c r="P16" s="934">
        <f>U12*3</f>
        <v>126474</v>
      </c>
      <c r="Q16" s="595" t="s">
        <v>1208</v>
      </c>
      <c r="R16" s="596"/>
      <c r="S16" s="1189"/>
      <c r="T16" s="1190"/>
      <c r="U16" s="1191"/>
      <c r="W16" s="450" t="s">
        <v>873</v>
      </c>
      <c r="X16" s="466" t="s">
        <v>1202</v>
      </c>
      <c r="Y16" s="476">
        <f>Y5*0.5+$X$5/10*(0.5/1.2)</f>
        <v>0.6520833333333333</v>
      </c>
      <c r="Z16" s="908">
        <f>Z5*0.5+$X$5/10*(0.5/1.2)</f>
        <v>0.7020833333333334</v>
      </c>
      <c r="AA16" s="477">
        <f>AA5*0.5+$X$5/10*(0.5/1.2)</f>
        <v>0.7370833333333334</v>
      </c>
    </row>
    <row r="17" spans="1:21" ht="14.25" thickBot="1">
      <c r="A17" s="421" t="b">
        <v>1</v>
      </c>
      <c r="B17" s="898" t="s">
        <v>35</v>
      </c>
      <c r="C17" s="143"/>
      <c r="D17" s="963"/>
      <c r="E17" s="7" t="s">
        <v>1059</v>
      </c>
      <c r="F17" s="8"/>
      <c r="G17" s="8">
        <v>3</v>
      </c>
      <c r="H17" s="8">
        <v>3</v>
      </c>
      <c r="I17" s="8">
        <v>3</v>
      </c>
      <c r="J17" s="8">
        <v>3</v>
      </c>
      <c r="K17" s="9"/>
      <c r="L17" s="483" t="str">
        <f>IF(A17=TRUE,"TRUE",IF(D17=1,"TRUE","FLASE"))</f>
        <v>TRUE</v>
      </c>
      <c r="M17" s="421">
        <f>IF(L17="true",4,0)</f>
        <v>4</v>
      </c>
      <c r="N17" s="1172"/>
      <c r="O17" s="925" t="s">
        <v>424</v>
      </c>
      <c r="P17" s="935">
        <f>S14*3</f>
        <v>155208</v>
      </c>
      <c r="Q17" s="1106" t="s">
        <v>76</v>
      </c>
      <c r="R17" s="1107"/>
      <c r="S17" s="1192"/>
      <c r="T17" s="1193"/>
      <c r="U17" s="1194"/>
    </row>
    <row r="18" spans="1:21" ht="14.25" thickBot="1">
      <c r="A18" s="421"/>
      <c r="B18" s="913" t="str">
        <f>IF($L$17="true","聖＋雷","聖のみ")</f>
        <v>聖＋雷</v>
      </c>
      <c r="C18" s="914"/>
      <c r="D18" s="964"/>
      <c r="E18" s="7" t="s">
        <v>1059</v>
      </c>
      <c r="F18" s="8">
        <v>1</v>
      </c>
      <c r="G18" s="8">
        <v>1</v>
      </c>
      <c r="H18" s="8">
        <v>1</v>
      </c>
      <c r="I18" s="8">
        <v>1</v>
      </c>
      <c r="J18" s="8">
        <v>1</v>
      </c>
      <c r="K18" s="9"/>
      <c r="L18" s="478"/>
      <c r="M18" s="484"/>
      <c r="N18" s="309"/>
      <c r="U18" s="309"/>
    </row>
    <row r="19" spans="1:29" ht="14.25" thickBot="1">
      <c r="A19" s="421"/>
      <c r="B19" s="915" t="str">
        <f>IF($L$17="true","火＋雷","火のみ")</f>
        <v>火＋雷</v>
      </c>
      <c r="C19" s="916"/>
      <c r="D19" s="965"/>
      <c r="E19" s="7" t="s">
        <v>1059</v>
      </c>
      <c r="F19" s="8">
        <v>1</v>
      </c>
      <c r="G19" s="8">
        <v>1</v>
      </c>
      <c r="H19" s="8">
        <v>1</v>
      </c>
      <c r="I19" s="8">
        <v>1</v>
      </c>
      <c r="J19" s="8">
        <v>1</v>
      </c>
      <c r="K19" s="9"/>
      <c r="L19" s="421"/>
      <c r="M19" s="421"/>
      <c r="N19" s="977" t="s">
        <v>106</v>
      </c>
      <c r="O19" s="978"/>
      <c r="P19" s="978"/>
      <c r="Q19" s="978"/>
      <c r="R19" s="978"/>
      <c r="S19" s="978"/>
      <c r="T19" s="169" t="s">
        <v>66</v>
      </c>
      <c r="U19" s="182">
        <f>IF(A5=4,94,IF(A5=5,83,IF(A5=6,79,IF(A5=7,73,IF(A5=8,70,0)))))</f>
        <v>94</v>
      </c>
      <c r="W19" s="953"/>
      <c r="X19" s="954" t="s">
        <v>1196</v>
      </c>
      <c r="Y19" s="954" t="s">
        <v>1194</v>
      </c>
      <c r="Z19" s="954" t="s">
        <v>1193</v>
      </c>
      <c r="AA19" s="954" t="s">
        <v>314</v>
      </c>
      <c r="AB19" s="954" t="s">
        <v>219</v>
      </c>
      <c r="AC19" s="842"/>
    </row>
    <row r="20" spans="1:29" ht="14.25" customHeight="1" thickBot="1">
      <c r="A20" s="421"/>
      <c r="B20" s="917" t="str">
        <f>IF($L$17="true","氷＋雷","氷のみ")</f>
        <v>氷＋雷</v>
      </c>
      <c r="C20" s="918"/>
      <c r="D20" s="966"/>
      <c r="E20" s="7" t="s">
        <v>1059</v>
      </c>
      <c r="F20" s="8"/>
      <c r="G20" s="8"/>
      <c r="H20" s="8"/>
      <c r="I20" s="8"/>
      <c r="J20" s="8"/>
      <c r="K20" s="9"/>
      <c r="M20" s="421"/>
      <c r="N20" s="24" t="s">
        <v>37</v>
      </c>
      <c r="O20" s="750">
        <f>D9</f>
        <v>12</v>
      </c>
      <c r="P20" s="1218" t="s">
        <v>1051</v>
      </c>
      <c r="Q20" s="1219"/>
      <c r="R20" s="858">
        <f>(360+10*O20)/100</f>
        <v>4.8</v>
      </c>
      <c r="S20" s="1115" t="s">
        <v>874</v>
      </c>
      <c r="T20" s="1116"/>
      <c r="U20" s="942">
        <f>R20*$U$6</f>
        <v>7.176</v>
      </c>
      <c r="W20" s="484"/>
      <c r="X20" s="955">
        <v>1</v>
      </c>
      <c r="Y20" s="955">
        <v>2</v>
      </c>
      <c r="Z20" s="955">
        <v>3</v>
      </c>
      <c r="AA20" s="955">
        <v>4</v>
      </c>
      <c r="AB20" s="956">
        <v>5</v>
      </c>
      <c r="AC20" s="957">
        <v>1</v>
      </c>
    </row>
    <row r="21" spans="1:29" ht="13.5">
      <c r="A21" s="421"/>
      <c r="B21" s="919" t="str">
        <f>IF($L$17="true","雷のみ","聖のみ")</f>
        <v>雷のみ</v>
      </c>
      <c r="C21" s="920"/>
      <c r="D21" s="967"/>
      <c r="E21" s="7" t="s">
        <v>970</v>
      </c>
      <c r="F21" s="8"/>
      <c r="G21" s="8">
        <v>2</v>
      </c>
      <c r="H21" s="8">
        <v>2</v>
      </c>
      <c r="I21" s="8">
        <v>2</v>
      </c>
      <c r="J21" s="8">
        <v>2</v>
      </c>
      <c r="K21" s="9"/>
      <c r="L21" s="483"/>
      <c r="M21" s="484"/>
      <c r="N21" s="1170" t="s">
        <v>419</v>
      </c>
      <c r="O21" s="928" t="s">
        <v>420</v>
      </c>
      <c r="P21" s="929">
        <f>MIN(INT(($R$4*U20)*(1+$B$33+$E$33+$B$51)),ReadMe!$M$94)</f>
        <v>51212</v>
      </c>
      <c r="Q21" s="1158" t="s">
        <v>421</v>
      </c>
      <c r="R21" s="930" t="s">
        <v>420</v>
      </c>
      <c r="S21" s="941">
        <f>MIN(INT(P21*$E$41),ReadMe!$M$94)</f>
        <v>61454</v>
      </c>
      <c r="T21" s="1173" t="s">
        <v>875</v>
      </c>
      <c r="U21" s="1176">
        <f>INT(P22*(1-$G$41)+S22*$G$41)</f>
        <v>53783</v>
      </c>
      <c r="W21" s="484" t="s">
        <v>1138</v>
      </c>
      <c r="X21" s="958">
        <v>2.055</v>
      </c>
      <c r="Y21" s="958">
        <v>1.95</v>
      </c>
      <c r="Z21" s="958">
        <v>1.8</v>
      </c>
      <c r="AA21" s="958">
        <v>1.875</v>
      </c>
      <c r="AB21" s="959">
        <v>1</v>
      </c>
      <c r="AC21" s="960">
        <v>2</v>
      </c>
    </row>
    <row r="22" spans="1:29" ht="14.25" thickBot="1">
      <c r="A22" s="421"/>
      <c r="B22" s="71" t="s">
        <v>1137</v>
      </c>
      <c r="C22" s="72"/>
      <c r="D22" s="968"/>
      <c r="E22" s="7" t="s">
        <v>972</v>
      </c>
      <c r="F22" s="8"/>
      <c r="G22" s="8">
        <v>3</v>
      </c>
      <c r="H22" s="8">
        <v>3</v>
      </c>
      <c r="I22" s="8">
        <v>3</v>
      </c>
      <c r="J22" s="8">
        <v>3</v>
      </c>
      <c r="K22" s="9"/>
      <c r="L22" s="483"/>
      <c r="M22" s="484"/>
      <c r="N22" s="1171"/>
      <c r="O22" s="923" t="s">
        <v>423</v>
      </c>
      <c r="P22" s="377">
        <f>INT((P21+P23)/2)</f>
        <v>52846</v>
      </c>
      <c r="Q22" s="1159"/>
      <c r="R22" s="924" t="s">
        <v>423</v>
      </c>
      <c r="S22" s="922">
        <f>INT((S21+S23)/2)</f>
        <v>71587</v>
      </c>
      <c r="T22" s="1161"/>
      <c r="U22" s="1150"/>
      <c r="W22" s="484" t="s">
        <v>1139</v>
      </c>
      <c r="X22" s="958">
        <v>1.37</v>
      </c>
      <c r="Y22" s="958">
        <v>1.3</v>
      </c>
      <c r="Z22" s="958">
        <v>1.2</v>
      </c>
      <c r="AA22" s="958">
        <v>1.25</v>
      </c>
      <c r="AB22" s="961">
        <v>1</v>
      </c>
      <c r="AC22" s="960">
        <v>3</v>
      </c>
    </row>
    <row r="23" spans="1:29" ht="14.25" thickBot="1">
      <c r="A23" s="421" t="b">
        <v>0</v>
      </c>
      <c r="B23" s="1152" t="str">
        <f>IF(D16=1,"聖弱点",IF(D16=2,"火弱点",IF(D16=3,"氷弱点",IF(D16=4,"雷弱点","-"))))</f>
        <v>聖弱点</v>
      </c>
      <c r="C23" s="1153"/>
      <c r="D23" s="969"/>
      <c r="E23" s="7" t="s">
        <v>1210</v>
      </c>
      <c r="F23" s="8"/>
      <c r="G23" s="8"/>
      <c r="H23" s="8"/>
      <c r="I23" s="8"/>
      <c r="J23" s="8"/>
      <c r="K23" s="9"/>
      <c r="L23" s="514" t="str">
        <f>IF(A23=TRUE,"TRUE",IF(D23=1,"TRUE","FLASE"))</f>
        <v>FLASE</v>
      </c>
      <c r="M23" s="421">
        <f>IF(L23="true",2,3)</f>
        <v>3</v>
      </c>
      <c r="N23" s="1175"/>
      <c r="O23" s="943" t="s">
        <v>424</v>
      </c>
      <c r="P23" s="944">
        <f>MIN(INT(($T$4*U20)*(1+$B$33+$E$33+$B$51)),ReadMe!$M$94)</f>
        <v>54481</v>
      </c>
      <c r="Q23" s="1195"/>
      <c r="R23" s="936" t="s">
        <v>424</v>
      </c>
      <c r="S23" s="945">
        <f>MIN(INT(P23*$F$41),ReadMe!$M$94)</f>
        <v>81721</v>
      </c>
      <c r="T23" s="1174"/>
      <c r="U23" s="1177"/>
      <c r="W23" s="484" t="s">
        <v>1140</v>
      </c>
      <c r="X23" s="962">
        <v>2.21125</v>
      </c>
      <c r="Y23" s="962">
        <v>2.10625</v>
      </c>
      <c r="Z23" s="962">
        <v>1.95625</v>
      </c>
      <c r="AA23" s="958">
        <v>1.875</v>
      </c>
      <c r="AB23" s="961">
        <v>1</v>
      </c>
      <c r="AC23" s="960">
        <v>4</v>
      </c>
    </row>
    <row r="24" spans="1:29" ht="14.25" customHeight="1" thickBot="1">
      <c r="A24" s="421" t="b">
        <v>0</v>
      </c>
      <c r="B24" s="1154" t="str">
        <f>IF(OR(D16=4,D16=5),"-","雷弱点")</f>
        <v>雷弱点</v>
      </c>
      <c r="C24" s="1155"/>
      <c r="D24" s="970"/>
      <c r="E24" s="7" t="s">
        <v>1061</v>
      </c>
      <c r="F24" s="8"/>
      <c r="G24" s="8"/>
      <c r="H24" s="8"/>
      <c r="I24" s="8"/>
      <c r="J24" s="8"/>
      <c r="K24" s="9"/>
      <c r="L24" s="514" t="str">
        <f>IF(A24=TRUE,"TRUE",IF(D24=1,"TRUE","FLASE"))</f>
        <v>FLASE</v>
      </c>
      <c r="M24" s="421">
        <f>IF(L17="true",IF(L24="true",-2,0),0)</f>
        <v>0</v>
      </c>
      <c r="N24" s="1181" t="s">
        <v>77</v>
      </c>
      <c r="O24" s="1182"/>
      <c r="P24" s="1182"/>
      <c r="Q24" s="1182"/>
      <c r="R24" s="1178">
        <f>(U21*$U$19+($U$9*0.4*U34))*$G$46</f>
        <v>5687507.6</v>
      </c>
      <c r="S24" s="1179"/>
      <c r="T24" s="1179"/>
      <c r="U24" s="1180"/>
      <c r="W24" s="711" t="s">
        <v>1141</v>
      </c>
      <c r="X24" s="962">
        <v>1.5575</v>
      </c>
      <c r="Y24" s="962">
        <v>1.4875</v>
      </c>
      <c r="Z24" s="962">
        <v>1.3875</v>
      </c>
      <c r="AA24" s="958">
        <v>1.25</v>
      </c>
      <c r="AB24" s="961">
        <v>1</v>
      </c>
      <c r="AC24" s="960">
        <v>5</v>
      </c>
    </row>
    <row r="25" spans="1:29" ht="14.25" customHeight="1" thickBot="1">
      <c r="A25" s="421" t="b">
        <v>0</v>
      </c>
      <c r="B25" s="1156" t="str">
        <f>IF(OR(D16=4,D16=5),"-","雷耐性")</f>
        <v>雷耐性</v>
      </c>
      <c r="C25" s="1157"/>
      <c r="D25" s="971"/>
      <c r="E25" s="7" t="s">
        <v>823</v>
      </c>
      <c r="F25" s="517">
        <v>20</v>
      </c>
      <c r="G25" s="517"/>
      <c r="H25" s="517"/>
      <c r="I25" s="517"/>
      <c r="J25" s="517"/>
      <c r="K25" s="518"/>
      <c r="L25" s="514" t="str">
        <f>IF(A25=TRUE,"TRUE",IF(D25=1,"TRUE","FLASE"))</f>
        <v>FLASE</v>
      </c>
      <c r="M25" s="421">
        <f>IF(L17="true",IF(L25="true",2,0),0)</f>
        <v>0</v>
      </c>
      <c r="N25" s="307"/>
      <c r="O25" s="307"/>
      <c r="P25" s="307"/>
      <c r="Q25" s="307"/>
      <c r="R25" s="307"/>
      <c r="S25" s="307"/>
      <c r="T25" s="307"/>
      <c r="U25" s="307"/>
      <c r="W25" s="711" t="s">
        <v>1142</v>
      </c>
      <c r="X25" s="962">
        <v>2.18</v>
      </c>
      <c r="Y25" s="962">
        <v>2.075</v>
      </c>
      <c r="Z25" s="962">
        <v>1.925</v>
      </c>
      <c r="AA25" s="958">
        <v>1.875</v>
      </c>
      <c r="AB25" s="961">
        <v>1</v>
      </c>
      <c r="AC25" s="960">
        <v>6</v>
      </c>
    </row>
    <row r="26" spans="1:29" ht="14.25" thickBot="1">
      <c r="A26" s="421"/>
      <c r="B26" s="1081" t="s">
        <v>74</v>
      </c>
      <c r="C26" s="1082"/>
      <c r="D26" s="20">
        <v>11</v>
      </c>
      <c r="E26" s="235" t="s">
        <v>975</v>
      </c>
      <c r="F26" s="8">
        <v>34</v>
      </c>
      <c r="G26" s="41">
        <f>ROUNDDOWN(G3*D27%,0)</f>
        <v>46</v>
      </c>
      <c r="H26" s="41">
        <f>ROUNDDOWN(H3*D27%,0)</f>
        <v>0</v>
      </c>
      <c r="I26" s="41">
        <f>ROUNDDOWN(I3*D27%,0)</f>
        <v>0</v>
      </c>
      <c r="J26" s="41">
        <f>ROUNDDOWN(J3*D27%,0)</f>
        <v>0</v>
      </c>
      <c r="K26" s="9">
        <v>60</v>
      </c>
      <c r="L26" s="421"/>
      <c r="M26" s="421"/>
      <c r="N26" s="977" t="s">
        <v>665</v>
      </c>
      <c r="O26" s="978"/>
      <c r="P26" s="978"/>
      <c r="Q26" s="978"/>
      <c r="R26" s="978"/>
      <c r="S26" s="978"/>
      <c r="T26" s="978"/>
      <c r="U26" s="979"/>
      <c r="W26" s="711" t="s">
        <v>1143</v>
      </c>
      <c r="X26" s="962">
        <v>1.495</v>
      </c>
      <c r="Y26" s="962">
        <v>1.425</v>
      </c>
      <c r="Z26" s="962">
        <v>1.325</v>
      </c>
      <c r="AA26" s="958">
        <v>1.25</v>
      </c>
      <c r="AB26" s="961">
        <v>1</v>
      </c>
      <c r="AC26" s="960">
        <v>7</v>
      </c>
    </row>
    <row r="27" spans="2:29" ht="14.25" customHeight="1" thickBot="1">
      <c r="B27" s="5" t="s">
        <v>62</v>
      </c>
      <c r="C27" s="569"/>
      <c r="D27" s="6">
        <f>ROUNDUP(D26/2,0)</f>
        <v>6</v>
      </c>
      <c r="E27" s="7" t="s">
        <v>63</v>
      </c>
      <c r="F27" s="44">
        <f>D28</f>
        <v>0</v>
      </c>
      <c r="G27" s="44">
        <f>SUM(G4:G25)</f>
        <v>89</v>
      </c>
      <c r="H27" s="44">
        <f>SUM(H4:H25)</f>
        <v>77</v>
      </c>
      <c r="I27" s="44">
        <f>SUM(I4:I25)</f>
        <v>27</v>
      </c>
      <c r="J27" s="44">
        <f>SUM(J4:J25)</f>
        <v>27</v>
      </c>
      <c r="K27" s="45">
        <f>SUM(K3:K25)+D28+K26</f>
        <v>104</v>
      </c>
      <c r="M27" s="421"/>
      <c r="N27" s="24" t="s">
        <v>37</v>
      </c>
      <c r="O27" s="83">
        <f>D8</f>
        <v>3</v>
      </c>
      <c r="P27" s="1115" t="s">
        <v>1051</v>
      </c>
      <c r="Q27" s="1116"/>
      <c r="R27" s="76">
        <f>(O27*4+130)/100</f>
        <v>1.42</v>
      </c>
      <c r="S27" s="1214" t="s">
        <v>1207</v>
      </c>
      <c r="T27" s="1215"/>
      <c r="U27" s="946">
        <f>R27*$U$6</f>
        <v>2.1229</v>
      </c>
      <c r="W27" s="711" t="s">
        <v>1144</v>
      </c>
      <c r="X27" s="962">
        <v>2.1070833333333336</v>
      </c>
      <c r="Y27" s="962">
        <v>2.0020833333333337</v>
      </c>
      <c r="Z27" s="962">
        <v>1.852083333333333</v>
      </c>
      <c r="AA27" s="958">
        <v>1.875</v>
      </c>
      <c r="AB27" s="961">
        <v>1</v>
      </c>
      <c r="AC27" s="960">
        <v>8</v>
      </c>
    </row>
    <row r="28" spans="2:29" ht="14.25" customHeight="1" thickBot="1">
      <c r="B28" s="169" t="s">
        <v>1024</v>
      </c>
      <c r="C28" s="416"/>
      <c r="D28" s="170">
        <v>0</v>
      </c>
      <c r="E28" s="14" t="s">
        <v>55</v>
      </c>
      <c r="F28" s="49">
        <f>SUM(F3:F27)</f>
        <v>210</v>
      </c>
      <c r="G28" s="49">
        <f>INT((G3+G26+G27)*(1+G31))</f>
        <v>984</v>
      </c>
      <c r="H28" s="49">
        <f>INT((H3+H26+H27)*(1+H31))</f>
        <v>81</v>
      </c>
      <c r="I28" s="49">
        <f>INT((I3+I26+I27)*(1+I31))</f>
        <v>31</v>
      </c>
      <c r="J28" s="49">
        <f>INT((J3+J26+J27)*(1+J31))</f>
        <v>31</v>
      </c>
      <c r="K28" s="205">
        <f>($J$28+$H$28*1.2+K27)*(1+K31)</f>
        <v>232.2</v>
      </c>
      <c r="N28" s="1170" t="s">
        <v>419</v>
      </c>
      <c r="O28" s="928" t="s">
        <v>420</v>
      </c>
      <c r="P28" s="929">
        <f>MIN(INT(($R$4*U27)*(1+$B$33+$E$33+$B$51)),ReadMe!$M$94)</f>
        <v>15150</v>
      </c>
      <c r="Q28" s="1158" t="s">
        <v>421</v>
      </c>
      <c r="R28" s="930" t="s">
        <v>420</v>
      </c>
      <c r="S28" s="931">
        <f>MIN(INT(P28*$E$41),ReadMe!$M$94)</f>
        <v>18180</v>
      </c>
      <c r="T28" s="1089" t="s">
        <v>730</v>
      </c>
      <c r="U28" s="1149">
        <f>INT(P29*(1-$G$41)+S29*$G$41)</f>
        <v>15910</v>
      </c>
      <c r="W28" s="711" t="s">
        <v>1145</v>
      </c>
      <c r="X28" s="962">
        <v>1.4325</v>
      </c>
      <c r="Y28" s="962">
        <v>1.3625</v>
      </c>
      <c r="Z28" s="962">
        <v>1.2625</v>
      </c>
      <c r="AA28" s="958">
        <v>1.25</v>
      </c>
      <c r="AB28" s="961">
        <v>1</v>
      </c>
      <c r="AC28" s="960">
        <v>9</v>
      </c>
    </row>
    <row r="29" spans="2:21" ht="14.25" thickBot="1">
      <c r="B29" s="1068" t="s">
        <v>645</v>
      </c>
      <c r="C29" s="1036"/>
      <c r="D29" s="1036"/>
      <c r="E29" s="1036"/>
      <c r="F29" s="1036"/>
      <c r="G29" s="1036"/>
      <c r="H29" s="1036"/>
      <c r="I29" s="1036"/>
      <c r="J29" s="1036"/>
      <c r="K29" s="1037"/>
      <c r="N29" s="1171"/>
      <c r="O29" s="923" t="s">
        <v>423</v>
      </c>
      <c r="P29" s="377">
        <f>INT((P28+P30)/2)</f>
        <v>15633</v>
      </c>
      <c r="Q29" s="1159"/>
      <c r="R29" s="924" t="s">
        <v>423</v>
      </c>
      <c r="S29" s="922">
        <f>INT((S28+S30)/2)</f>
        <v>21177</v>
      </c>
      <c r="T29" s="1161"/>
      <c r="U29" s="1150"/>
    </row>
    <row r="30" spans="2:21" ht="14.25" customHeight="1" thickBot="1">
      <c r="B30" s="1085" t="s">
        <v>443</v>
      </c>
      <c r="C30" s="1086"/>
      <c r="D30" s="1087"/>
      <c r="E30" s="1038" t="s">
        <v>646</v>
      </c>
      <c r="F30" s="1039"/>
      <c r="G30" s="1" t="s">
        <v>650</v>
      </c>
      <c r="H30" s="3" t="s">
        <v>649</v>
      </c>
      <c r="I30" s="3" t="s">
        <v>648</v>
      </c>
      <c r="J30" s="3" t="s">
        <v>647</v>
      </c>
      <c r="K30" s="4" t="s">
        <v>651</v>
      </c>
      <c r="N30" s="1172"/>
      <c r="O30" s="925" t="s">
        <v>424</v>
      </c>
      <c r="P30" s="926">
        <f>MIN(INT(($T$4*U27)*(1+$B$33+$E$33+$B$51)),ReadMe!$M$94)</f>
        <v>16117</v>
      </c>
      <c r="Q30" s="1160"/>
      <c r="R30" s="947" t="s">
        <v>424</v>
      </c>
      <c r="S30" s="932">
        <f>MIN(INT(P30*$F$41),ReadMe!$M$94)</f>
        <v>24175</v>
      </c>
      <c r="T30" s="1162"/>
      <c r="U30" s="1151"/>
    </row>
    <row r="31" spans="2:21" ht="14.25" customHeight="1" thickBot="1">
      <c r="B31" s="1091">
        <v>0</v>
      </c>
      <c r="C31" s="1132"/>
      <c r="D31" s="1093"/>
      <c r="E31" s="1040">
        <v>0</v>
      </c>
      <c r="F31" s="1032"/>
      <c r="G31" s="575">
        <v>0.09</v>
      </c>
      <c r="H31" s="576">
        <v>0</v>
      </c>
      <c r="I31" s="576">
        <v>0</v>
      </c>
      <c r="J31" s="576">
        <v>0</v>
      </c>
      <c r="K31" s="577">
        <v>0</v>
      </c>
      <c r="N31" s="911"/>
      <c r="O31" s="910"/>
      <c r="P31" s="910"/>
      <c r="Q31" s="892"/>
      <c r="R31" s="892"/>
      <c r="S31" s="303"/>
      <c r="T31" s="303"/>
      <c r="U31" s="303"/>
    </row>
    <row r="32" spans="2:21" ht="14.25" customHeight="1" thickBot="1">
      <c r="B32" s="1088" t="s">
        <v>644</v>
      </c>
      <c r="C32" s="1089"/>
      <c r="D32" s="1090"/>
      <c r="E32" s="984" t="s">
        <v>551</v>
      </c>
      <c r="F32" s="976"/>
      <c r="N32" s="977" t="s">
        <v>775</v>
      </c>
      <c r="O32" s="978"/>
      <c r="P32" s="978"/>
      <c r="Q32" s="978"/>
      <c r="R32" s="978"/>
      <c r="S32" s="979"/>
      <c r="T32" s="817" t="s">
        <v>134</v>
      </c>
      <c r="U32" s="76">
        <v>0.4</v>
      </c>
    </row>
    <row r="33" spans="2:21" ht="14.25" thickBot="1">
      <c r="B33" s="1091">
        <v>0</v>
      </c>
      <c r="C33" s="1092"/>
      <c r="D33" s="1093"/>
      <c r="E33" s="1040">
        <v>0</v>
      </c>
      <c r="F33" s="1032"/>
      <c r="N33" s="282" t="s">
        <v>37</v>
      </c>
      <c r="O33" s="182">
        <f>20</f>
        <v>20</v>
      </c>
      <c r="P33" s="1229" t="s">
        <v>1051</v>
      </c>
      <c r="Q33" s="1230"/>
      <c r="R33" s="283">
        <v>1.5</v>
      </c>
      <c r="S33" s="1163" t="s">
        <v>1207</v>
      </c>
      <c r="T33" s="1164"/>
      <c r="U33" s="946">
        <f>R33*$U$6</f>
        <v>2.2425</v>
      </c>
    </row>
    <row r="34" spans="14:21" ht="14.25" customHeight="1" thickBot="1">
      <c r="N34" s="1170" t="s">
        <v>419</v>
      </c>
      <c r="O34" s="928" t="s">
        <v>420</v>
      </c>
      <c r="P34" s="929">
        <f>MIN(INT(($R$4*U33)*(1+$B$33+$E$33+$B$51)),ReadMe!$M$94)</f>
        <v>16003</v>
      </c>
      <c r="Q34" s="1158" t="s">
        <v>421</v>
      </c>
      <c r="R34" s="930" t="s">
        <v>420</v>
      </c>
      <c r="S34" s="931">
        <f>MIN(INT(P34*$E$41),ReadMe!$M$94)</f>
        <v>19203</v>
      </c>
      <c r="T34" s="1089" t="s">
        <v>730</v>
      </c>
      <c r="U34" s="1149">
        <f>INT(P35*(1-$G$41)+S35*$G$41)</f>
        <v>16806</v>
      </c>
    </row>
    <row r="35" spans="2:21" ht="14.25" thickBot="1">
      <c r="B35" s="1047" t="s">
        <v>1120</v>
      </c>
      <c r="C35" s="1048"/>
      <c r="D35" s="1048"/>
      <c r="E35" s="535" t="s">
        <v>56</v>
      </c>
      <c r="F35" s="19" t="s">
        <v>58</v>
      </c>
      <c r="G35" s="536" t="s">
        <v>750</v>
      </c>
      <c r="I35" s="1041" t="s">
        <v>218</v>
      </c>
      <c r="J35" s="1042"/>
      <c r="K35" s="1043"/>
      <c r="N35" s="1171"/>
      <c r="O35" s="923" t="s">
        <v>423</v>
      </c>
      <c r="P35" s="377">
        <f>INT((P34+P36)/2)</f>
        <v>16514</v>
      </c>
      <c r="Q35" s="1159"/>
      <c r="R35" s="924" t="s">
        <v>423</v>
      </c>
      <c r="S35" s="922">
        <f>INT((S34+S36)/2)</f>
        <v>22370</v>
      </c>
      <c r="T35" s="1161"/>
      <c r="U35" s="1150"/>
    </row>
    <row r="36" spans="2:21" ht="14.25" customHeight="1" thickBot="1">
      <c r="B36" s="1133" t="s">
        <v>1122</v>
      </c>
      <c r="C36" s="1134"/>
      <c r="D36" s="1135"/>
      <c r="E36" s="36">
        <v>1.2</v>
      </c>
      <c r="F36" s="539">
        <v>1.5</v>
      </c>
      <c r="G36" s="260">
        <v>0.05</v>
      </c>
      <c r="I36" s="1041" t="s">
        <v>220</v>
      </c>
      <c r="J36" s="1053"/>
      <c r="K36" s="1054"/>
      <c r="N36" s="1172"/>
      <c r="O36" s="925" t="s">
        <v>424</v>
      </c>
      <c r="P36" s="926">
        <f>MIN(INT(($T$4*U33)*(1+$B$33+$E$33+$B$51)),ReadMe!$M$94)</f>
        <v>17025</v>
      </c>
      <c r="Q36" s="1160"/>
      <c r="R36" s="947" t="s">
        <v>424</v>
      </c>
      <c r="S36" s="932">
        <f>MIN(INT(P36*$F$41),ReadMe!$M$94)</f>
        <v>25537</v>
      </c>
      <c r="T36" s="1162"/>
      <c r="U36" s="1151"/>
    </row>
    <row r="37" spans="2:11" ht="14.25" customHeight="1" thickBot="1">
      <c r="B37" s="1051" t="s">
        <v>1117</v>
      </c>
      <c r="C37" s="1052"/>
      <c r="D37" s="548">
        <v>0</v>
      </c>
      <c r="E37" s="538"/>
      <c r="F37" s="537">
        <f>D37/100</f>
        <v>0</v>
      </c>
      <c r="G37" s="543">
        <f>IF(D37=0,0,(5+ROUNDUP(D37/2,0))/100)</f>
        <v>0</v>
      </c>
      <c r="I37" s="871" t="s">
        <v>217</v>
      </c>
      <c r="J37" s="224"/>
      <c r="K37" s="247">
        <v>0</v>
      </c>
    </row>
    <row r="38" spans="2:19" ht="14.25" thickBot="1">
      <c r="B38" s="1051" t="s">
        <v>1118</v>
      </c>
      <c r="C38" s="1052"/>
      <c r="D38" s="548">
        <v>0</v>
      </c>
      <c r="E38" s="538">
        <f>D38/100</f>
        <v>0</v>
      </c>
      <c r="F38" s="537"/>
      <c r="G38" s="543">
        <f>IF(D38=0,0,(5+ROUNDUP(D38/2,0))/100)</f>
        <v>0</v>
      </c>
      <c r="N38" s="1062" t="s">
        <v>1050</v>
      </c>
      <c r="O38" s="1063"/>
      <c r="P38" s="1063"/>
      <c r="Q38" s="1213"/>
      <c r="R38" s="490" t="s">
        <v>113</v>
      </c>
      <c r="S38" s="486">
        <v>0.7</v>
      </c>
    </row>
    <row r="39" spans="1:19" ht="14.25" thickBot="1">
      <c r="A39" s="421" t="b">
        <v>0</v>
      </c>
      <c r="B39" s="1051" t="s">
        <v>1119</v>
      </c>
      <c r="C39" s="1052"/>
      <c r="D39" s="544"/>
      <c r="E39" s="538"/>
      <c r="F39" s="537">
        <f>IF(H39="true",0.15,0)</f>
        <v>0</v>
      </c>
      <c r="G39" s="543">
        <f>IF(H39="true",0.1,0)</f>
        <v>0</v>
      </c>
      <c r="H39" s="421" t="str">
        <f>IF(A39=TRUE,"TRUE",IF(D39=1,"TRUE","FLASE"))</f>
        <v>FLASE</v>
      </c>
      <c r="I39" s="1058" t="s">
        <v>1163</v>
      </c>
      <c r="J39" s="1059"/>
      <c r="K39" s="896"/>
      <c r="L39" s="421" t="b">
        <v>0</v>
      </c>
      <c r="M39" s="514" t="str">
        <f>IF(L39=TRUE,"TRUE",IF(K39=1,"TRUE","FLASE"))</f>
        <v>FLASE</v>
      </c>
      <c r="N39" s="1205" t="s">
        <v>1051</v>
      </c>
      <c r="O39" s="1206"/>
      <c r="P39" s="487">
        <v>1</v>
      </c>
      <c r="Q39" s="1104" t="s">
        <v>997</v>
      </c>
      <c r="R39" s="1207"/>
      <c r="S39" s="332">
        <v>1</v>
      </c>
    </row>
    <row r="40" spans="2:19" ht="14.25" thickBot="1">
      <c r="B40" s="1055" t="s">
        <v>1121</v>
      </c>
      <c r="C40" s="1056"/>
      <c r="D40" s="1057"/>
      <c r="E40" s="545">
        <v>0</v>
      </c>
      <c r="F40" s="546">
        <v>0</v>
      </c>
      <c r="G40" s="547">
        <v>0</v>
      </c>
      <c r="I40" s="637" t="s">
        <v>787</v>
      </c>
      <c r="J40" s="893"/>
      <c r="K40" s="894">
        <v>0</v>
      </c>
      <c r="N40" s="1208" t="s">
        <v>419</v>
      </c>
      <c r="O40" s="91" t="s">
        <v>420</v>
      </c>
      <c r="P40" s="488">
        <f>MIN(INT(($R$4*P39)*(1+$B$33+$E$33+$B$51)),ReadMe!$M$94)</f>
        <v>7136</v>
      </c>
      <c r="Q40" s="1211" t="s">
        <v>421</v>
      </c>
      <c r="R40" s="79" t="s">
        <v>420</v>
      </c>
      <c r="S40" s="217">
        <f>MIN(INT(P40*$E$41),ReadMe!$M$94)</f>
        <v>8563</v>
      </c>
    </row>
    <row r="41" spans="2:19" ht="14.25" customHeight="1" thickBot="1">
      <c r="B41" s="1044" t="s">
        <v>1123</v>
      </c>
      <c r="C41" s="1045"/>
      <c r="D41" s="1046"/>
      <c r="E41" s="540">
        <f>E36+MAX(E38,E39)+E40</f>
        <v>1.2</v>
      </c>
      <c r="F41" s="541">
        <f>F36+MAX(F37,F39)+F40</f>
        <v>1.5</v>
      </c>
      <c r="G41" s="542">
        <f>G36+MAX(G37,G38,G39)+G40</f>
        <v>0.05</v>
      </c>
      <c r="I41" s="1060" t="s">
        <v>530</v>
      </c>
      <c r="J41" s="1061"/>
      <c r="K41" s="895">
        <f>IF(M39="true",IF(K40&gt;0,10+ROUNDUP(K40/3,0),11)/100,0)</f>
        <v>0</v>
      </c>
      <c r="L41" s="342"/>
      <c r="M41" s="342"/>
      <c r="N41" s="1209"/>
      <c r="O41" s="44" t="s">
        <v>423</v>
      </c>
      <c r="P41" s="189">
        <f>INT((P40+P42)/2)</f>
        <v>7364</v>
      </c>
      <c r="Q41" s="1212"/>
      <c r="R41" s="80" t="s">
        <v>423</v>
      </c>
      <c r="S41" s="89">
        <f>INT((S40+S42)/2)</f>
        <v>9975</v>
      </c>
    </row>
    <row r="42" spans="2:19" ht="14.25" thickBot="1">
      <c r="B42" s="1136" t="s">
        <v>135</v>
      </c>
      <c r="C42" s="1137"/>
      <c r="D42" s="1138"/>
      <c r="E42" s="1011">
        <f>(($E$41+$F$41)/2-1)*$G$41+1</f>
        <v>1.0175</v>
      </c>
      <c r="F42" s="1012"/>
      <c r="G42" s="1005"/>
      <c r="N42" s="1210"/>
      <c r="O42" s="15" t="s">
        <v>424</v>
      </c>
      <c r="P42" s="190">
        <f>MIN(INT(($T$4*P39)*(1+$B$33+$E$33+$B$51)),ReadMe!$M$94)</f>
        <v>7592</v>
      </c>
      <c r="Q42" s="489"/>
      <c r="R42" s="87" t="s">
        <v>424</v>
      </c>
      <c r="S42" s="90">
        <f>MIN(INT(P42*$F$41),ReadMe!$M$94)</f>
        <v>11388</v>
      </c>
    </row>
    <row r="43" spans="9:19" ht="14.25" customHeight="1" thickBot="1">
      <c r="I43" s="1075" t="s">
        <v>1188</v>
      </c>
      <c r="J43" s="1076"/>
      <c r="K43" s="1077"/>
      <c r="N43" s="1065" t="s">
        <v>127</v>
      </c>
      <c r="O43" s="1066"/>
      <c r="P43" s="1067"/>
      <c r="Q43" s="1035">
        <f>INT(P41*(1-$G$41)+S41*$G$41)</f>
        <v>7494</v>
      </c>
      <c r="R43" s="1027"/>
      <c r="S43" s="1028"/>
    </row>
    <row r="44" spans="2:19" ht="14.25" thickBot="1">
      <c r="B44" s="1049" t="s">
        <v>416</v>
      </c>
      <c r="C44" s="1050"/>
      <c r="D44" s="566">
        <v>125</v>
      </c>
      <c r="E44" s="1147" t="s">
        <v>417</v>
      </c>
      <c r="F44" s="1148"/>
      <c r="G44" s="26">
        <f>IF(D2&gt;D44,0,$D$44-$D$2)</f>
        <v>0</v>
      </c>
      <c r="I44" s="439" t="s">
        <v>1189</v>
      </c>
      <c r="J44" s="572"/>
      <c r="K44" s="223">
        <v>0</v>
      </c>
      <c r="L44" s="342"/>
      <c r="M44" s="342"/>
      <c r="N44" s="1065" t="s">
        <v>407</v>
      </c>
      <c r="O44" s="1066"/>
      <c r="P44" s="1067"/>
      <c r="Q44" s="1035">
        <f>Q43*S39</f>
        <v>7494</v>
      </c>
      <c r="R44" s="1027"/>
      <c r="S44" s="1028"/>
    </row>
    <row r="45" spans="2:11" ht="14.25" thickBot="1">
      <c r="B45" s="1006" t="s">
        <v>450</v>
      </c>
      <c r="C45" s="1007"/>
      <c r="D45" s="9">
        <v>12</v>
      </c>
      <c r="E45" s="1006" t="s">
        <v>452</v>
      </c>
      <c r="F45" s="1007"/>
      <c r="G45" s="665">
        <f>IF(G44&gt;0,"-",D45)</f>
        <v>12</v>
      </c>
      <c r="I45" s="440" t="s">
        <v>1190</v>
      </c>
      <c r="J45" s="573"/>
      <c r="K45" s="441">
        <f>IF(K44&gt;0,(K44+10)/100,0)</f>
        <v>0</v>
      </c>
    </row>
    <row r="46" spans="2:7" ht="14.25" customHeight="1" thickBot="1">
      <c r="B46" s="997" t="s">
        <v>415</v>
      </c>
      <c r="C46" s="998"/>
      <c r="D46" s="9">
        <v>0</v>
      </c>
      <c r="E46" s="1006" t="s">
        <v>451</v>
      </c>
      <c r="F46" s="1007"/>
      <c r="G46" s="543">
        <f>MAX((MIN(100+SQRT($K$28)-SQRT($D$45),100)-5*G44)/100,0)</f>
        <v>1</v>
      </c>
    </row>
    <row r="47" spans="2:13" ht="14.25" thickBot="1">
      <c r="B47" s="1008" t="s">
        <v>642</v>
      </c>
      <c r="C47" s="1009"/>
      <c r="D47" s="567">
        <v>0.25</v>
      </c>
      <c r="E47" s="1145" t="s">
        <v>643</v>
      </c>
      <c r="F47" s="1146"/>
      <c r="G47" s="29">
        <f>1-(D47*(1-K45))</f>
        <v>0.75</v>
      </c>
      <c r="I47" s="1003" t="s">
        <v>1110</v>
      </c>
      <c r="J47" s="1004"/>
      <c r="K47" s="996"/>
      <c r="L47" s="342"/>
      <c r="M47" s="168"/>
    </row>
    <row r="48" spans="4:13" ht="14.25" thickBot="1">
      <c r="D48" s="421">
        <f>$D$46*(1-($K$45+$B$31))</f>
        <v>0</v>
      </c>
      <c r="G48" s="534">
        <f>1-(D47*(1-(R11+K45)))</f>
        <v>0.8025</v>
      </c>
      <c r="I48" s="1083" t="s">
        <v>652</v>
      </c>
      <c r="J48" s="1084"/>
      <c r="K48" s="493"/>
      <c r="L48" s="514" t="b">
        <v>0</v>
      </c>
      <c r="M48" s="514" t="str">
        <f>IF(L48=TRUE,"TRUE",IF(K48=1,"TRUE","FLASE"))</f>
        <v>FLASE</v>
      </c>
    </row>
    <row r="49" spans="2:13" ht="14.25" customHeight="1">
      <c r="B49" s="1078" t="s">
        <v>749</v>
      </c>
      <c r="C49" s="1079"/>
      <c r="D49" s="1080"/>
      <c r="I49" s="994" t="s">
        <v>653</v>
      </c>
      <c r="J49" s="995"/>
      <c r="K49" s="494"/>
      <c r="L49" s="514" t="b">
        <v>0</v>
      </c>
      <c r="M49" s="514" t="str">
        <f>IF(L49=TRUE,"TRUE",IF(K49=1,"TRUE","FLASE"))</f>
        <v>FLASE</v>
      </c>
    </row>
    <row r="50" spans="1:13" ht="14.25" thickBot="1">
      <c r="A50" s="342"/>
      <c r="B50" s="999" t="s">
        <v>551</v>
      </c>
      <c r="C50" s="1000"/>
      <c r="D50" s="1001"/>
      <c r="I50" s="1002" t="s">
        <v>530</v>
      </c>
      <c r="J50" s="993"/>
      <c r="K50" s="225">
        <f>IF(M48="TRUE",1.04,IF(M49="TRUE",1.02,1))</f>
        <v>1</v>
      </c>
      <c r="L50" s="352"/>
      <c r="M50" s="352"/>
    </row>
    <row r="51" spans="1:4" ht="14.25" thickBot="1">
      <c r="A51" s="342"/>
      <c r="B51" s="1142">
        <v>0</v>
      </c>
      <c r="C51" s="1143"/>
      <c r="D51" s="1144"/>
    </row>
    <row r="52" ht="14.25" thickBot="1">
      <c r="A52" s="342"/>
    </row>
    <row r="53" spans="2:12" ht="14.25" thickBot="1">
      <c r="B53" s="1023" t="s">
        <v>64</v>
      </c>
      <c r="C53" s="1024"/>
      <c r="D53" s="1024"/>
      <c r="E53" s="1024"/>
      <c r="F53" s="1024"/>
      <c r="G53" s="1024"/>
      <c r="H53" s="1024"/>
      <c r="I53" s="1024"/>
      <c r="J53" s="1024"/>
      <c r="K53" s="1024"/>
      <c r="L53" s="1025"/>
    </row>
    <row r="54" spans="2:12" ht="14.25" customHeight="1">
      <c r="B54" s="1018" t="s">
        <v>103</v>
      </c>
      <c r="C54" s="1020"/>
      <c r="D54" s="1020"/>
      <c r="E54" s="1020"/>
      <c r="F54" s="1020"/>
      <c r="G54" s="1020"/>
      <c r="H54" s="1020"/>
      <c r="I54" s="1020"/>
      <c r="J54" s="1020"/>
      <c r="K54" s="1020"/>
      <c r="L54" s="1016"/>
    </row>
    <row r="55" spans="2:12" ht="14.25" customHeight="1">
      <c r="B55" s="1220" t="s">
        <v>345</v>
      </c>
      <c r="C55" s="1221"/>
      <c r="D55" s="1221"/>
      <c r="E55" s="1221"/>
      <c r="F55" s="1221"/>
      <c r="G55" s="1221"/>
      <c r="H55" s="1221"/>
      <c r="I55" s="1221"/>
      <c r="J55" s="1221"/>
      <c r="K55" s="1221"/>
      <c r="L55" s="1222"/>
    </row>
    <row r="56" spans="2:12" ht="13.5">
      <c r="B56" s="1223" t="s">
        <v>346</v>
      </c>
      <c r="C56" s="1224"/>
      <c r="D56" s="1224"/>
      <c r="E56" s="1224"/>
      <c r="F56" s="1224"/>
      <c r="G56" s="1224"/>
      <c r="H56" s="1224"/>
      <c r="I56" s="1224"/>
      <c r="J56" s="1224"/>
      <c r="K56" s="1224"/>
      <c r="L56" s="1225"/>
    </row>
    <row r="57" spans="2:12" ht="13.5">
      <c r="B57" s="1226" t="s">
        <v>347</v>
      </c>
      <c r="C57" s="1227"/>
      <c r="D57" s="1227"/>
      <c r="E57" s="1227"/>
      <c r="F57" s="1227"/>
      <c r="G57" s="1227"/>
      <c r="H57" s="1227"/>
      <c r="I57" s="1227"/>
      <c r="J57" s="1227"/>
      <c r="K57" s="1227"/>
      <c r="L57" s="1228"/>
    </row>
    <row r="58" spans="2:12" ht="14.25" customHeight="1">
      <c r="B58" s="1017" t="s">
        <v>432</v>
      </c>
      <c r="C58" s="1013"/>
      <c r="D58" s="1013"/>
      <c r="E58" s="1013"/>
      <c r="F58" s="1013"/>
      <c r="G58" s="1013"/>
      <c r="H58" s="1013"/>
      <c r="I58" s="1013"/>
      <c r="J58" s="1013"/>
      <c r="K58" s="1013"/>
      <c r="L58" s="1010"/>
    </row>
    <row r="59" spans="2:12" ht="13.5">
      <c r="B59" s="1017" t="s">
        <v>431</v>
      </c>
      <c r="C59" s="1013"/>
      <c r="D59" s="1013"/>
      <c r="E59" s="1013"/>
      <c r="F59" s="1013"/>
      <c r="G59" s="1013"/>
      <c r="H59" s="1013"/>
      <c r="I59" s="1013"/>
      <c r="J59" s="1013"/>
      <c r="K59" s="1013"/>
      <c r="L59" s="1010"/>
    </row>
    <row r="60" spans="2:12" ht="13.5">
      <c r="B60" s="1200" t="s">
        <v>341</v>
      </c>
      <c r="C60" s="1201"/>
      <c r="D60" s="1201"/>
      <c r="E60" s="1201"/>
      <c r="F60" s="1201"/>
      <c r="G60" s="1201"/>
      <c r="H60" s="1201"/>
      <c r="I60" s="1201"/>
      <c r="J60" s="1201"/>
      <c r="K60" s="1201"/>
      <c r="L60" s="1202"/>
    </row>
    <row r="61" spans="2:12" ht="13.5">
      <c r="B61" s="1197" t="s">
        <v>342</v>
      </c>
      <c r="C61" s="1198"/>
      <c r="D61" s="1198"/>
      <c r="E61" s="1198"/>
      <c r="F61" s="1198"/>
      <c r="G61" s="1198"/>
      <c r="H61" s="1198"/>
      <c r="I61" s="1198"/>
      <c r="J61" s="1198"/>
      <c r="K61" s="1198"/>
      <c r="L61" s="1199"/>
    </row>
    <row r="62" spans="2:22" ht="14.25" customHeight="1">
      <c r="B62" s="1197" t="s">
        <v>351</v>
      </c>
      <c r="C62" s="1198"/>
      <c r="D62" s="1198"/>
      <c r="E62" s="1198"/>
      <c r="F62" s="1198"/>
      <c r="G62" s="1198"/>
      <c r="H62" s="1198"/>
      <c r="I62" s="1198"/>
      <c r="J62" s="1198"/>
      <c r="K62" s="1198"/>
      <c r="L62" s="1199"/>
      <c r="V62" s="67"/>
    </row>
    <row r="63" spans="2:22" ht="13.5">
      <c r="B63" s="1017" t="s">
        <v>1212</v>
      </c>
      <c r="C63" s="1013"/>
      <c r="D63" s="1013"/>
      <c r="E63" s="1013"/>
      <c r="F63" s="1013"/>
      <c r="G63" s="1013"/>
      <c r="H63" s="1013"/>
      <c r="I63" s="1013"/>
      <c r="J63" s="1013"/>
      <c r="K63" s="1013"/>
      <c r="L63" s="1010"/>
      <c r="V63" s="67"/>
    </row>
    <row r="64" spans="2:22" ht="14.25" customHeight="1">
      <c r="B64" s="1017" t="s">
        <v>1213</v>
      </c>
      <c r="C64" s="1013"/>
      <c r="D64" s="1013"/>
      <c r="E64" s="1013"/>
      <c r="F64" s="1013"/>
      <c r="G64" s="1013"/>
      <c r="H64" s="1013"/>
      <c r="I64" s="1013"/>
      <c r="J64" s="1013"/>
      <c r="K64" s="1013"/>
      <c r="L64" s="1010"/>
      <c r="V64" s="185"/>
    </row>
    <row r="65" spans="2:22" ht="13.5">
      <c r="B65" s="1017" t="s">
        <v>1214</v>
      </c>
      <c r="C65" s="1013"/>
      <c r="D65" s="1013"/>
      <c r="E65" s="1013"/>
      <c r="F65" s="1013"/>
      <c r="G65" s="1013"/>
      <c r="H65" s="1013"/>
      <c r="I65" s="1013"/>
      <c r="J65" s="1013"/>
      <c r="K65" s="1013"/>
      <c r="L65" s="1010"/>
      <c r="V65" s="166"/>
    </row>
    <row r="66" spans="2:22" ht="14.25" customHeight="1" thickBot="1">
      <c r="B66" s="1029" t="s">
        <v>1215</v>
      </c>
      <c r="C66" s="1031"/>
      <c r="D66" s="1031"/>
      <c r="E66" s="1031"/>
      <c r="F66" s="1031"/>
      <c r="G66" s="1031"/>
      <c r="H66" s="1031"/>
      <c r="I66" s="1031"/>
      <c r="J66" s="1031"/>
      <c r="K66" s="1031"/>
      <c r="L66" s="1022"/>
      <c r="V66" s="58"/>
    </row>
    <row r="67" ht="14.25" thickBot="1">
      <c r="V67" s="185"/>
    </row>
    <row r="68" spans="2:12" ht="14.25" thickBot="1">
      <c r="B68" s="1023" t="s">
        <v>393</v>
      </c>
      <c r="C68" s="1024"/>
      <c r="D68" s="1024"/>
      <c r="E68" s="1024"/>
      <c r="F68" s="1024"/>
      <c r="G68" s="1024"/>
      <c r="H68" s="1024"/>
      <c r="I68" s="1024"/>
      <c r="J68" s="1024"/>
      <c r="K68" s="1024"/>
      <c r="L68" s="1025"/>
    </row>
    <row r="69" spans="2:12" ht="13.5">
      <c r="B69" s="1018" t="s">
        <v>398</v>
      </c>
      <c r="C69" s="1020"/>
      <c r="D69" s="1020"/>
      <c r="E69" s="1020"/>
      <c r="F69" s="1020"/>
      <c r="G69" s="1020"/>
      <c r="H69" s="1020"/>
      <c r="I69" s="1020"/>
      <c r="J69" s="1020"/>
      <c r="K69" s="1020"/>
      <c r="L69" s="1016"/>
    </row>
    <row r="70" spans="2:12" ht="14.25" customHeight="1">
      <c r="B70" s="1017" t="s">
        <v>501</v>
      </c>
      <c r="C70" s="1013"/>
      <c r="D70" s="1013"/>
      <c r="E70" s="1013"/>
      <c r="F70" s="1013"/>
      <c r="G70" s="1013"/>
      <c r="H70" s="1013"/>
      <c r="I70" s="1013"/>
      <c r="J70" s="1013"/>
      <c r="K70" s="1013"/>
      <c r="L70" s="1010"/>
    </row>
    <row r="71" spans="2:12" ht="13.5">
      <c r="B71" s="1017" t="s">
        <v>502</v>
      </c>
      <c r="C71" s="1013"/>
      <c r="D71" s="1013"/>
      <c r="E71" s="1013"/>
      <c r="F71" s="1013"/>
      <c r="G71" s="1013"/>
      <c r="H71" s="1013"/>
      <c r="I71" s="1013"/>
      <c r="J71" s="1013"/>
      <c r="K71" s="1013"/>
      <c r="L71" s="1010"/>
    </row>
    <row r="72" spans="2:12" ht="13.5">
      <c r="B72" s="1017" t="s">
        <v>396</v>
      </c>
      <c r="C72" s="1013"/>
      <c r="D72" s="1013"/>
      <c r="E72" s="1013"/>
      <c r="F72" s="1013"/>
      <c r="G72" s="1013"/>
      <c r="H72" s="1013"/>
      <c r="I72" s="1013"/>
      <c r="J72" s="1013"/>
      <c r="K72" s="1013"/>
      <c r="L72" s="1010"/>
    </row>
    <row r="73" spans="2:12" ht="13.5">
      <c r="B73" s="1017" t="s">
        <v>397</v>
      </c>
      <c r="C73" s="1013"/>
      <c r="D73" s="1013"/>
      <c r="E73" s="1013"/>
      <c r="F73" s="1013"/>
      <c r="G73" s="1013"/>
      <c r="H73" s="1013"/>
      <c r="I73" s="1013"/>
      <c r="J73" s="1013"/>
      <c r="K73" s="1013"/>
      <c r="L73" s="1010"/>
    </row>
    <row r="74" spans="2:12" ht="14.25" thickBot="1">
      <c r="B74" s="1029" t="s">
        <v>395</v>
      </c>
      <c r="C74" s="1031"/>
      <c r="D74" s="1031"/>
      <c r="E74" s="1031"/>
      <c r="F74" s="1031"/>
      <c r="G74" s="1031"/>
      <c r="H74" s="1031"/>
      <c r="I74" s="1031"/>
      <c r="J74" s="1031"/>
      <c r="K74" s="1031"/>
      <c r="L74" s="1022"/>
    </row>
    <row r="77" ht="14.25" customHeight="1"/>
  </sheetData>
  <sheetProtection/>
  <protectedRanges>
    <protectedRange sqref="D26 B4:C4 D2 D5:D7 F3:K3" name="範囲1"/>
    <protectedRange sqref="D44:D45 D47" name="範囲1_3"/>
    <protectedRange sqref="F26 K26" name="範囲1_4"/>
    <protectedRange sqref="F4:K5" name="範囲1_1"/>
    <protectedRange sqref="F6:K25" name="範囲1_2"/>
  </protectedRanges>
  <mergeCells count="115">
    <mergeCell ref="B55:L55"/>
    <mergeCell ref="B56:L56"/>
    <mergeCell ref="B57:L57"/>
    <mergeCell ref="P33:Q33"/>
    <mergeCell ref="B38:C38"/>
    <mergeCell ref="I35:K35"/>
    <mergeCell ref="N43:P43"/>
    <mergeCell ref="Q43:S43"/>
    <mergeCell ref="N34:N36"/>
    <mergeCell ref="B42:D42"/>
    <mergeCell ref="T28:T30"/>
    <mergeCell ref="S27:T27"/>
    <mergeCell ref="U6:U7"/>
    <mergeCell ref="N19:S19"/>
    <mergeCell ref="P10:Q10"/>
    <mergeCell ref="P20:Q20"/>
    <mergeCell ref="P11:Q11"/>
    <mergeCell ref="S11:T11"/>
    <mergeCell ref="S20:T20"/>
    <mergeCell ref="Q21:Q23"/>
    <mergeCell ref="B72:L72"/>
    <mergeCell ref="N28:N30"/>
    <mergeCell ref="Q28:Q30"/>
    <mergeCell ref="B70:L70"/>
    <mergeCell ref="B71:L71"/>
    <mergeCell ref="B66:L66"/>
    <mergeCell ref="B65:L65"/>
    <mergeCell ref="B64:L64"/>
    <mergeCell ref="B62:L62"/>
    <mergeCell ref="N38:Q38"/>
    <mergeCell ref="F1:P1"/>
    <mergeCell ref="B53:L53"/>
    <mergeCell ref="B54:L54"/>
    <mergeCell ref="N2:P2"/>
    <mergeCell ref="P6:Q6"/>
    <mergeCell ref="Q44:S44"/>
    <mergeCell ref="N39:O39"/>
    <mergeCell ref="Q39:R39"/>
    <mergeCell ref="N40:N42"/>
    <mergeCell ref="Q40:Q41"/>
    <mergeCell ref="B73:L73"/>
    <mergeCell ref="B74:L74"/>
    <mergeCell ref="N26:U26"/>
    <mergeCell ref="B69:L69"/>
    <mergeCell ref="B68:L68"/>
    <mergeCell ref="B63:L63"/>
    <mergeCell ref="B59:L59"/>
    <mergeCell ref="B61:L61"/>
    <mergeCell ref="B60:L60"/>
    <mergeCell ref="N44:P44"/>
    <mergeCell ref="R2:T2"/>
    <mergeCell ref="N15:N17"/>
    <mergeCell ref="S10:T10"/>
    <mergeCell ref="Q17:R17"/>
    <mergeCell ref="S15:U17"/>
    <mergeCell ref="Q12:Q14"/>
    <mergeCell ref="N9:S9"/>
    <mergeCell ref="U12:U14"/>
    <mergeCell ref="T12:T14"/>
    <mergeCell ref="N21:N23"/>
    <mergeCell ref="U21:U23"/>
    <mergeCell ref="R24:U24"/>
    <mergeCell ref="N24:Q24"/>
    <mergeCell ref="W2:AA2"/>
    <mergeCell ref="B33:D33"/>
    <mergeCell ref="E33:F33"/>
    <mergeCell ref="E32:F32"/>
    <mergeCell ref="B4:D4"/>
    <mergeCell ref="B29:K29"/>
    <mergeCell ref="B30:D30"/>
    <mergeCell ref="E30:F30"/>
    <mergeCell ref="N12:N14"/>
    <mergeCell ref="T21:T23"/>
    <mergeCell ref="B40:D40"/>
    <mergeCell ref="B41:D41"/>
    <mergeCell ref="B32:D32"/>
    <mergeCell ref="B39:C39"/>
    <mergeCell ref="B35:D35"/>
    <mergeCell ref="B37:C37"/>
    <mergeCell ref="B36:D36"/>
    <mergeCell ref="B2:C2"/>
    <mergeCell ref="B31:D31"/>
    <mergeCell ref="E31:F31"/>
    <mergeCell ref="I36:K36"/>
    <mergeCell ref="B26:C26"/>
    <mergeCell ref="I39:J39"/>
    <mergeCell ref="I41:J41"/>
    <mergeCell ref="B58:L58"/>
    <mergeCell ref="E42:G42"/>
    <mergeCell ref="B44:C44"/>
    <mergeCell ref="E44:F44"/>
    <mergeCell ref="B47:C47"/>
    <mergeCell ref="E47:F47"/>
    <mergeCell ref="B46:C46"/>
    <mergeCell ref="B50:D50"/>
    <mergeCell ref="B51:D51"/>
    <mergeCell ref="I43:K43"/>
    <mergeCell ref="I50:J50"/>
    <mergeCell ref="I48:J48"/>
    <mergeCell ref="I49:J49"/>
    <mergeCell ref="B45:C45"/>
    <mergeCell ref="E45:F45"/>
    <mergeCell ref="B49:D49"/>
    <mergeCell ref="I47:K47"/>
    <mergeCell ref="E46:F46"/>
    <mergeCell ref="U34:U36"/>
    <mergeCell ref="B23:C23"/>
    <mergeCell ref="B24:C24"/>
    <mergeCell ref="B25:C25"/>
    <mergeCell ref="Q34:Q36"/>
    <mergeCell ref="T34:T36"/>
    <mergeCell ref="U28:U30"/>
    <mergeCell ref="N32:S32"/>
    <mergeCell ref="S33:T33"/>
    <mergeCell ref="P27:Q27"/>
  </mergeCells>
  <printOptions/>
  <pageMargins left="0.75" right="0.75" top="1" bottom="1" header="0.512" footer="0.512"/>
  <pageSetup horizontalDpi="300" verticalDpi="300" orientation="portrait" paperSize="9" r:id="rId2"/>
  <ignoredErrors>
    <ignoredError sqref="G27:J27" formulaRange="1"/>
  </ignoredErrors>
  <legacyDrawing r:id="rId1"/>
</worksheet>
</file>

<file path=xl/worksheets/sheet3.xml><?xml version="1.0" encoding="utf-8"?>
<worksheet xmlns="http://schemas.openxmlformats.org/spreadsheetml/2006/main" xmlns:r="http://schemas.openxmlformats.org/officeDocument/2006/relationships">
  <dimension ref="A1:AB65"/>
  <sheetViews>
    <sheetView workbookViewId="0" topLeftCell="A1">
      <selection activeCell="A1" sqref="A1"/>
    </sheetView>
  </sheetViews>
  <sheetFormatPr defaultColWidth="9.00390625" defaultRowHeight="13.5"/>
  <cols>
    <col min="1" max="1" width="2.625" style="0" customWidth="1"/>
    <col min="2" max="11" width="5.625" style="0" customWidth="1"/>
    <col min="12" max="13" width="2.625" style="0" customWidth="1"/>
    <col min="22" max="22" width="2.625" style="0" customWidth="1"/>
  </cols>
  <sheetData>
    <row r="1" spans="6:16" ht="24.75" thickBot="1">
      <c r="F1" s="990" t="s">
        <v>208</v>
      </c>
      <c r="G1" s="990"/>
      <c r="H1" s="990"/>
      <c r="I1" s="990"/>
      <c r="J1" s="990"/>
      <c r="K1" s="990"/>
      <c r="L1" s="990"/>
      <c r="M1" s="990"/>
      <c r="N1" s="990"/>
      <c r="O1" s="990"/>
      <c r="P1" s="990"/>
    </row>
    <row r="2" spans="2:24" ht="14.25" thickBot="1">
      <c r="B2" s="1078" t="s">
        <v>209</v>
      </c>
      <c r="C2" s="1094"/>
      <c r="D2" s="2">
        <v>150</v>
      </c>
      <c r="E2" s="1"/>
      <c r="F2" s="3" t="s">
        <v>129</v>
      </c>
      <c r="G2" s="3" t="s">
        <v>210</v>
      </c>
      <c r="H2" s="3" t="s">
        <v>211</v>
      </c>
      <c r="I2" s="3" t="s">
        <v>1115</v>
      </c>
      <c r="J2" s="3" t="s">
        <v>1116</v>
      </c>
      <c r="K2" s="26" t="s">
        <v>430</v>
      </c>
      <c r="N2" s="991" t="s">
        <v>104</v>
      </c>
      <c r="O2" s="992"/>
      <c r="P2" s="987"/>
      <c r="R2" s="991" t="s">
        <v>418</v>
      </c>
      <c r="S2" s="992"/>
      <c r="T2" s="987"/>
      <c r="U2" s="99"/>
      <c r="W2" s="1270" t="s">
        <v>1125</v>
      </c>
      <c r="X2" s="1271"/>
    </row>
    <row r="3" spans="2:24" ht="14.25" thickBot="1">
      <c r="B3" s="5" t="s">
        <v>40</v>
      </c>
      <c r="C3" s="569"/>
      <c r="D3" s="6">
        <f>((D2-1)*5+IF(D2&gt;=120,35,IF(D2&gt;=70,30,25)))-(G3+H3+I3+J3)</f>
        <v>0</v>
      </c>
      <c r="E3" s="7" t="s">
        <v>41</v>
      </c>
      <c r="F3" s="8"/>
      <c r="G3" s="8">
        <v>768</v>
      </c>
      <c r="H3" s="8">
        <v>4</v>
      </c>
      <c r="I3" s="8">
        <v>4</v>
      </c>
      <c r="J3" s="8">
        <v>4</v>
      </c>
      <c r="K3" s="9"/>
      <c r="N3" s="10" t="s">
        <v>69</v>
      </c>
      <c r="O3" s="11" t="s">
        <v>70</v>
      </c>
      <c r="P3" s="12" t="s">
        <v>71</v>
      </c>
      <c r="R3" s="71" t="s">
        <v>69</v>
      </c>
      <c r="S3" s="72" t="s">
        <v>70</v>
      </c>
      <c r="T3" s="73" t="s">
        <v>71</v>
      </c>
      <c r="W3" s="1" t="s">
        <v>51</v>
      </c>
      <c r="X3" s="519">
        <f>(D6*20+500)/100</f>
        <v>7</v>
      </c>
    </row>
    <row r="4" spans="2:24" ht="14.25" thickBot="1">
      <c r="B4" s="1097" t="s">
        <v>562</v>
      </c>
      <c r="C4" s="1098"/>
      <c r="D4" s="1098"/>
      <c r="E4" s="7" t="s">
        <v>42</v>
      </c>
      <c r="F4" s="8">
        <v>130</v>
      </c>
      <c r="G4" s="8">
        <v>14</v>
      </c>
      <c r="H4" s="8"/>
      <c r="I4" s="8"/>
      <c r="J4" s="8"/>
      <c r="K4" s="9"/>
      <c r="N4" s="14">
        <f>P4*D25</f>
        <v>11302.497809999999</v>
      </c>
      <c r="O4" s="15">
        <f>(P4+N4)/2</f>
        <v>11930.414355</v>
      </c>
      <c r="P4" s="16">
        <f>$Q$4*($F$28+INT(($F$28-$F$25)*$E$31)+INT($F$28*($K$41+$K$50-1)))/100</f>
        <v>12558.3309</v>
      </c>
      <c r="Q4" s="421">
        <f>1.49*(4*$G$28+$H$28)</f>
        <v>5895.93</v>
      </c>
      <c r="R4" s="14">
        <f>N4*$G$47*(1-$G$44/100)</f>
        <v>8476.873357499999</v>
      </c>
      <c r="S4" s="15">
        <f>O4*$G$47*(1-$G$44/100)</f>
        <v>8947.81076625</v>
      </c>
      <c r="T4" s="16">
        <f>P4*$G$47*(1-$G$44/100)</f>
        <v>9418.748175</v>
      </c>
      <c r="W4" s="14" t="s">
        <v>818</v>
      </c>
      <c r="X4" s="16">
        <f>10-INT(D6/2)</f>
        <v>5</v>
      </c>
    </row>
    <row r="5" spans="2:24" ht="14.25" thickBot="1">
      <c r="B5" s="169" t="s">
        <v>43</v>
      </c>
      <c r="C5" s="416"/>
      <c r="D5" s="243">
        <v>7</v>
      </c>
      <c r="E5" s="7" t="s">
        <v>44</v>
      </c>
      <c r="F5" s="8"/>
      <c r="G5" s="8"/>
      <c r="H5" s="8"/>
      <c r="I5" s="8"/>
      <c r="J5" s="8"/>
      <c r="K5" s="9"/>
      <c r="O5" s="421"/>
      <c r="P5" s="421"/>
      <c r="Q5" s="421"/>
      <c r="R5" s="421"/>
      <c r="S5" s="421"/>
      <c r="W5" s="10" t="s">
        <v>56</v>
      </c>
      <c r="X5" s="798">
        <f>MIN(INT(R4*X3),ReadMe!$M$94)</f>
        <v>59338</v>
      </c>
    </row>
    <row r="6" spans="2:24" ht="14.25" thickBot="1">
      <c r="B6" s="1247" t="s">
        <v>1125</v>
      </c>
      <c r="C6" s="1248"/>
      <c r="D6" s="142">
        <v>10</v>
      </c>
      <c r="E6" s="43" t="s">
        <v>45</v>
      </c>
      <c r="F6" s="8"/>
      <c r="G6" s="8">
        <v>10</v>
      </c>
      <c r="H6" s="8">
        <v>16</v>
      </c>
      <c r="I6" s="8">
        <v>10</v>
      </c>
      <c r="J6" s="8">
        <v>10</v>
      </c>
      <c r="K6" s="9">
        <v>22</v>
      </c>
      <c r="N6" s="977" t="str">
        <f>IF($A$10="true","ドラゴンバスター(ダークフォース時)","ドラゴンバスター")</f>
        <v>ドラゴンバスター(ダークフォース時)</v>
      </c>
      <c r="O6" s="978"/>
      <c r="P6" s="978"/>
      <c r="Q6" s="978"/>
      <c r="R6" s="978"/>
      <c r="S6" s="978"/>
      <c r="T6" s="978"/>
      <c r="U6" s="979"/>
      <c r="W6" s="7" t="s">
        <v>57</v>
      </c>
      <c r="X6" s="45">
        <f>MIN(INT(S4*X3),ReadMe!$M$94)</f>
        <v>62634</v>
      </c>
    </row>
    <row r="7" spans="2:24" ht="14.25" thickBot="1">
      <c r="B7" s="1262" t="s">
        <v>629</v>
      </c>
      <c r="C7" s="1263"/>
      <c r="D7" s="298">
        <v>1</v>
      </c>
      <c r="E7" s="43" t="s">
        <v>46</v>
      </c>
      <c r="F7" s="8"/>
      <c r="G7" s="8"/>
      <c r="H7" s="8">
        <v>7</v>
      </c>
      <c r="I7" s="8"/>
      <c r="J7" s="8"/>
      <c r="K7" s="9"/>
      <c r="N7" s="24" t="s">
        <v>408</v>
      </c>
      <c r="O7" s="84">
        <v>30</v>
      </c>
      <c r="P7" s="199" t="s">
        <v>51</v>
      </c>
      <c r="Q7" s="76">
        <v>1.45</v>
      </c>
      <c r="R7" s="187" t="s">
        <v>43</v>
      </c>
      <c r="S7" s="83">
        <f>MAX($D$5-$K$37,4)</f>
        <v>7</v>
      </c>
      <c r="T7" s="198" t="s">
        <v>66</v>
      </c>
      <c r="U7" s="84">
        <f>IF($B$4="鉾",IF(S7=4,87,IF(S7=5,80,IF(S7=6,74,IF(S7=7,69,IF(S7=8,64,0))))),IF(S7=4,73,IF(S7=5,69,IF(S7=6,65,IF(S7=7,61,IF(S7=8,57,0))))))</f>
        <v>61</v>
      </c>
      <c r="W7" s="14" t="s">
        <v>58</v>
      </c>
      <c r="X7" s="16">
        <f>MIN(INT(T4*X3),ReadMe!$M$94)</f>
        <v>65931</v>
      </c>
    </row>
    <row r="8" spans="2:21" ht="14.25" thickBot="1">
      <c r="B8" s="1249" t="s">
        <v>1124</v>
      </c>
      <c r="C8" s="1250"/>
      <c r="D8" s="142">
        <v>30</v>
      </c>
      <c r="E8" s="43" t="s">
        <v>47</v>
      </c>
      <c r="F8" s="8">
        <v>2</v>
      </c>
      <c r="G8" s="8"/>
      <c r="H8" s="8">
        <v>2</v>
      </c>
      <c r="I8" s="8"/>
      <c r="J8" s="8"/>
      <c r="K8" s="9">
        <v>7</v>
      </c>
      <c r="N8" s="988" t="s">
        <v>107</v>
      </c>
      <c r="O8" s="77" t="s">
        <v>56</v>
      </c>
      <c r="P8" s="4">
        <f>MIN(INT($R$4*Q7*IF($A$10="true",(1+$D$9),1)*(1+$B$33+$E$33+$B$51)),ReadMe!$M$94)</f>
        <v>19666</v>
      </c>
      <c r="Q8" s="975" t="s">
        <v>406</v>
      </c>
      <c r="R8" s="194" t="s">
        <v>56</v>
      </c>
      <c r="S8" s="191">
        <f>MIN(INT(P8*$E$41),ReadMe!$M$94)</f>
        <v>26549</v>
      </c>
      <c r="T8" s="1242" t="s">
        <v>140</v>
      </c>
      <c r="U8" s="1090">
        <f>INT((P9*(1-$G$41))+(S9*$G$41))</f>
        <v>23874</v>
      </c>
    </row>
    <row r="9" spans="1:28" ht="14.25" thickBot="1">
      <c r="A9" s="421" t="b">
        <v>1</v>
      </c>
      <c r="B9" s="1231" t="s">
        <v>766</v>
      </c>
      <c r="C9" s="1232"/>
      <c r="D9" s="543">
        <f>(D8+30)/100</f>
        <v>0.6</v>
      </c>
      <c r="E9" s="43" t="s">
        <v>48</v>
      </c>
      <c r="F9" s="8"/>
      <c r="G9" s="8">
        <v>7</v>
      </c>
      <c r="H9" s="8">
        <v>7</v>
      </c>
      <c r="I9" s="8">
        <v>7</v>
      </c>
      <c r="J9" s="8">
        <v>7</v>
      </c>
      <c r="K9" s="9"/>
      <c r="N9" s="1051"/>
      <c r="O9" s="44" t="s">
        <v>57</v>
      </c>
      <c r="P9" s="45">
        <f>INT((P8+P10)/2)</f>
        <v>20758</v>
      </c>
      <c r="Q9" s="1069"/>
      <c r="R9" s="80" t="s">
        <v>57</v>
      </c>
      <c r="S9" s="192">
        <f>INT((S8+S10)/2)</f>
        <v>29662</v>
      </c>
      <c r="T9" s="1243"/>
      <c r="U9" s="1119"/>
      <c r="W9" s="977" t="s">
        <v>811</v>
      </c>
      <c r="X9" s="978"/>
      <c r="Y9" s="978"/>
      <c r="Z9" s="978"/>
      <c r="AA9" s="978"/>
      <c r="AB9" s="978"/>
    </row>
    <row r="10" spans="1:28" ht="14.25" thickBot="1">
      <c r="A10" s="421" t="str">
        <f>IF(A9=TRUE,"TRUE",IF(D10=1,"TRUE","FLASE"))</f>
        <v>TRUE</v>
      </c>
      <c r="B10" s="14" t="s">
        <v>499</v>
      </c>
      <c r="C10" s="15"/>
      <c r="D10" s="533"/>
      <c r="E10" s="43" t="s">
        <v>49</v>
      </c>
      <c r="F10" s="8"/>
      <c r="G10" s="8"/>
      <c r="H10" s="8">
        <v>6</v>
      </c>
      <c r="I10" s="8"/>
      <c r="J10" s="8"/>
      <c r="K10" s="9"/>
      <c r="N10" s="989"/>
      <c r="O10" s="15" t="s">
        <v>58</v>
      </c>
      <c r="P10" s="16">
        <f>MIN(INT($T$4*Q7*IF($A$10="true",(1+$D$9),1)*(1+$B$33+$E$33+$B$51)),ReadMe!$M$94)</f>
        <v>21851</v>
      </c>
      <c r="Q10" s="1070"/>
      <c r="R10" s="87" t="s">
        <v>58</v>
      </c>
      <c r="S10" s="193">
        <f>MIN(INT(P10*$F$41),ReadMe!$M$94)</f>
        <v>32776</v>
      </c>
      <c r="T10" s="1243"/>
      <c r="U10" s="1120"/>
      <c r="W10" s="24" t="s">
        <v>37</v>
      </c>
      <c r="X10" s="76">
        <v>0.2</v>
      </c>
      <c r="Y10" s="615" t="s">
        <v>51</v>
      </c>
      <c r="Z10" s="283">
        <v>1.5</v>
      </c>
      <c r="AA10" s="818" t="s">
        <v>134</v>
      </c>
      <c r="AB10" s="650">
        <v>0.4</v>
      </c>
    </row>
    <row r="11" spans="2:28" ht="13.5">
      <c r="B11" s="23"/>
      <c r="C11" s="22"/>
      <c r="D11" s="143"/>
      <c r="E11" s="43" t="s">
        <v>390</v>
      </c>
      <c r="F11" s="8"/>
      <c r="G11" s="8"/>
      <c r="H11" s="8"/>
      <c r="I11" s="8"/>
      <c r="J11" s="8"/>
      <c r="K11" s="9"/>
      <c r="N11" s="974" t="str">
        <f>IF($A$10="true","4発合計","3発合計")</f>
        <v>4発合計</v>
      </c>
      <c r="O11" s="11" t="s">
        <v>56</v>
      </c>
      <c r="P11" s="12">
        <f>P8*IF($A$10="true",4,3)</f>
        <v>78664</v>
      </c>
      <c r="Q11" s="550"/>
      <c r="R11" s="503"/>
      <c r="S11" s="1264">
        <f>(P12*U7+(U7*0.4*Z14))*G46</f>
        <v>6358591.2</v>
      </c>
      <c r="T11" s="1121"/>
      <c r="U11" s="1122"/>
      <c r="W11" s="988" t="s">
        <v>107</v>
      </c>
      <c r="X11" s="77" t="s">
        <v>56</v>
      </c>
      <c r="Y11" s="3">
        <f>MIN(INT($R$4*Z10*IF($A$10="true",(1+$D$9),1)*(1+$B$33+$E$33+$B$51)),ReadMe!$M$94)</f>
        <v>20344</v>
      </c>
      <c r="Z11" s="1158" t="s">
        <v>406</v>
      </c>
      <c r="AA11" s="88" t="s">
        <v>56</v>
      </c>
      <c r="AB11" s="819">
        <f>MIN(INT(Y11*($E$41-0.15)),ReadMe!$M$94)</f>
        <v>24412</v>
      </c>
    </row>
    <row r="12" spans="2:28" ht="13.5">
      <c r="B12" s="23"/>
      <c r="C12" s="22"/>
      <c r="D12" s="143"/>
      <c r="E12" s="43" t="s">
        <v>339</v>
      </c>
      <c r="F12" s="8"/>
      <c r="G12" s="8">
        <v>20</v>
      </c>
      <c r="H12" s="8">
        <v>3</v>
      </c>
      <c r="I12" s="8"/>
      <c r="J12" s="8"/>
      <c r="K12" s="9">
        <v>5</v>
      </c>
      <c r="N12" s="982"/>
      <c r="O12" s="280" t="s">
        <v>140</v>
      </c>
      <c r="P12" s="668">
        <f>U8*IF($A$10="true",4,3)</f>
        <v>95496</v>
      </c>
      <c r="Q12" s="595" t="s">
        <v>1208</v>
      </c>
      <c r="R12" s="596"/>
      <c r="S12" s="1265"/>
      <c r="T12" s="1123"/>
      <c r="U12" s="1124"/>
      <c r="W12" s="1051"/>
      <c r="X12" s="44" t="s">
        <v>57</v>
      </c>
      <c r="Y12" s="44">
        <f>INT((Y11+Y13)/2)</f>
        <v>21474</v>
      </c>
      <c r="Z12" s="1159"/>
      <c r="AA12" s="80" t="s">
        <v>57</v>
      </c>
      <c r="AB12" s="820">
        <f>INT((AB11+AB13)/2)</f>
        <v>29159</v>
      </c>
    </row>
    <row r="13" spans="2:28" ht="14.25" thickBot="1">
      <c r="B13" s="23"/>
      <c r="C13" s="22"/>
      <c r="D13" s="143"/>
      <c r="E13" s="43" t="s">
        <v>389</v>
      </c>
      <c r="F13" s="8"/>
      <c r="G13" s="8">
        <v>14</v>
      </c>
      <c r="H13" s="8">
        <v>5</v>
      </c>
      <c r="I13" s="8"/>
      <c r="J13" s="8"/>
      <c r="K13" s="9">
        <v>5</v>
      </c>
      <c r="N13" s="983"/>
      <c r="O13" s="15" t="s">
        <v>58</v>
      </c>
      <c r="P13" s="16">
        <f>S10*IF($A$10="true",4,3)</f>
        <v>131104</v>
      </c>
      <c r="Q13" s="1106" t="s">
        <v>76</v>
      </c>
      <c r="R13" s="1107"/>
      <c r="S13" s="1266"/>
      <c r="T13" s="1125"/>
      <c r="U13" s="1126"/>
      <c r="W13" s="999"/>
      <c r="X13" s="69" t="s">
        <v>58</v>
      </c>
      <c r="Y13" s="69">
        <f>MIN(INT($T$4*Z10*IF(A10="true",(1+D9),1)*(1+$B$33+$E$33+$B$51)),ReadMe!$M$94)</f>
        <v>22604</v>
      </c>
      <c r="Z13" s="1195"/>
      <c r="AA13" s="268" t="s">
        <v>58</v>
      </c>
      <c r="AB13" s="821">
        <f>MIN(INT(Y13*$F$41),ReadMe!$M$94)</f>
        <v>33906</v>
      </c>
    </row>
    <row r="14" spans="2:28" ht="13.5" customHeight="1" thickBot="1">
      <c r="B14" s="23"/>
      <c r="C14" s="22"/>
      <c r="D14" s="143"/>
      <c r="E14" s="43" t="s">
        <v>59</v>
      </c>
      <c r="F14" s="8"/>
      <c r="G14" s="8">
        <v>8</v>
      </c>
      <c r="H14" s="8">
        <v>13</v>
      </c>
      <c r="I14" s="8"/>
      <c r="J14" s="8"/>
      <c r="K14" s="9">
        <v>5</v>
      </c>
      <c r="W14" s="1272" t="s">
        <v>140</v>
      </c>
      <c r="X14" s="1273"/>
      <c r="Y14" s="1273"/>
      <c r="Z14" s="1274">
        <f>INT((Y12*(1-($G$41-0.3)))+(AB12*($G$41-0.3)))</f>
        <v>21858</v>
      </c>
      <c r="AA14" s="1274"/>
      <c r="AB14" s="1275"/>
    </row>
    <row r="15" spans="2:21" ht="14.25" thickBot="1">
      <c r="B15" s="23"/>
      <c r="C15" s="22"/>
      <c r="D15" s="143"/>
      <c r="E15" s="43" t="s">
        <v>60</v>
      </c>
      <c r="F15" s="8">
        <v>15</v>
      </c>
      <c r="G15" s="8"/>
      <c r="H15" s="8"/>
      <c r="I15" s="8"/>
      <c r="J15" s="8"/>
      <c r="K15" s="9"/>
      <c r="N15" s="977" t="str">
        <f>IF($A$10="true","ドラゴンスラッシャー(ダークフォース時)","ドラゴンスラッシャー")</f>
        <v>ドラゴンスラッシャー(ダークフォース時)</v>
      </c>
      <c r="O15" s="978"/>
      <c r="P15" s="978"/>
      <c r="Q15" s="978"/>
      <c r="R15" s="978"/>
      <c r="S15" s="978"/>
      <c r="T15" s="978"/>
      <c r="U15" s="979"/>
    </row>
    <row r="16" spans="2:21" ht="14.25" thickBot="1">
      <c r="B16" s="23"/>
      <c r="C16" s="22"/>
      <c r="D16" s="143"/>
      <c r="E16" s="43" t="s">
        <v>61</v>
      </c>
      <c r="F16" s="8">
        <v>4</v>
      </c>
      <c r="G16" s="8"/>
      <c r="H16" s="8">
        <v>8</v>
      </c>
      <c r="I16" s="8"/>
      <c r="J16" s="8"/>
      <c r="K16" s="9"/>
      <c r="N16" s="24" t="s">
        <v>408</v>
      </c>
      <c r="O16" s="84">
        <v>30</v>
      </c>
      <c r="P16" s="19" t="s">
        <v>51</v>
      </c>
      <c r="Q16" s="76">
        <v>3.6</v>
      </c>
      <c r="R16" s="187" t="s">
        <v>43</v>
      </c>
      <c r="S16" s="83">
        <f>S7</f>
        <v>7</v>
      </c>
      <c r="T16" s="198" t="s">
        <v>66</v>
      </c>
      <c r="U16" s="84">
        <f>IF(S16=4,100,IF(S16=5,88,IF(S16=6,84,IF(S16=7,80,IF(S16=8,76,0)))))</f>
        <v>80</v>
      </c>
    </row>
    <row r="17" spans="2:21" ht="13.5">
      <c r="B17" s="23"/>
      <c r="C17" s="22"/>
      <c r="D17" s="143"/>
      <c r="E17" s="43" t="s">
        <v>1059</v>
      </c>
      <c r="F17" s="8"/>
      <c r="G17" s="8">
        <v>3</v>
      </c>
      <c r="H17" s="8">
        <v>3</v>
      </c>
      <c r="I17" s="8">
        <v>3</v>
      </c>
      <c r="J17" s="8">
        <v>3</v>
      </c>
      <c r="K17" s="9"/>
      <c r="N17" s="988" t="s">
        <v>107</v>
      </c>
      <c r="O17" s="77" t="s">
        <v>56</v>
      </c>
      <c r="P17" s="4">
        <f>MIN(INT($R$4*Q16*IF($A$10="true",(1+$D$9),1)*(1+$B$33+$E$33+$B$51)),ReadMe!$M$94)</f>
        <v>48826</v>
      </c>
      <c r="Q17" s="975" t="s">
        <v>406</v>
      </c>
      <c r="R17" s="194" t="s">
        <v>56</v>
      </c>
      <c r="S17" s="191">
        <f>MIN(INT(P17*$E$41),ReadMe!$M$94)</f>
        <v>65915</v>
      </c>
      <c r="T17" s="1242" t="s">
        <v>140</v>
      </c>
      <c r="U17" s="1090">
        <f>INT((P18*(1-$G$41))+(S18*$G$41))</f>
        <v>59275</v>
      </c>
    </row>
    <row r="18" spans="2:21" ht="13.5">
      <c r="B18" s="23"/>
      <c r="C18" s="22"/>
      <c r="D18" s="143"/>
      <c r="E18" s="43" t="s">
        <v>1059</v>
      </c>
      <c r="F18" s="8">
        <v>1</v>
      </c>
      <c r="G18" s="8">
        <v>1</v>
      </c>
      <c r="H18" s="8">
        <v>1</v>
      </c>
      <c r="I18" s="8">
        <v>1</v>
      </c>
      <c r="J18" s="8">
        <v>1</v>
      </c>
      <c r="K18" s="9"/>
      <c r="N18" s="1051"/>
      <c r="O18" s="44" t="s">
        <v>57</v>
      </c>
      <c r="P18" s="45">
        <f>INT((P17+P19)/2)</f>
        <v>51538</v>
      </c>
      <c r="Q18" s="1069"/>
      <c r="R18" s="80" t="s">
        <v>57</v>
      </c>
      <c r="S18" s="192">
        <f>INT((S17+S19)/2)</f>
        <v>73645</v>
      </c>
      <c r="T18" s="1243"/>
      <c r="U18" s="1119"/>
    </row>
    <row r="19" spans="2:21" ht="14.25" thickBot="1">
      <c r="B19" s="23"/>
      <c r="C19" s="22"/>
      <c r="D19" s="143"/>
      <c r="E19" s="43" t="s">
        <v>1059</v>
      </c>
      <c r="F19" s="8">
        <v>1</v>
      </c>
      <c r="G19" s="8">
        <v>1</v>
      </c>
      <c r="H19" s="8">
        <v>1</v>
      </c>
      <c r="I19" s="8">
        <v>1</v>
      </c>
      <c r="J19" s="8">
        <v>1</v>
      </c>
      <c r="K19" s="9"/>
      <c r="N19" s="999"/>
      <c r="O19" s="69" t="s">
        <v>58</v>
      </c>
      <c r="P19" s="57">
        <f>MIN(INT($T$4*Q16*IF(A10="true",(1+D9),1)*(1+$B$33+$E$33+$B$51)),ReadMe!$M$94)</f>
        <v>54251</v>
      </c>
      <c r="Q19" s="1238"/>
      <c r="R19" s="268" t="s">
        <v>58</v>
      </c>
      <c r="S19" s="676">
        <f>MIN(INT(P19*$F$41),ReadMe!$M$94)</f>
        <v>81376</v>
      </c>
      <c r="T19" s="1244"/>
      <c r="U19" s="1237"/>
    </row>
    <row r="20" spans="2:21" ht="14.25" thickBot="1">
      <c r="B20" s="23"/>
      <c r="C20" s="22"/>
      <c r="D20" s="143"/>
      <c r="E20" s="43" t="s">
        <v>1059</v>
      </c>
      <c r="F20" s="8"/>
      <c r="G20" s="8"/>
      <c r="H20" s="8"/>
      <c r="I20" s="8"/>
      <c r="J20" s="8"/>
      <c r="K20" s="9"/>
      <c r="N20" s="1239" t="s">
        <v>916</v>
      </c>
      <c r="O20" s="1240"/>
      <c r="P20" s="1240"/>
      <c r="Q20" s="1240"/>
      <c r="R20" s="1241"/>
      <c r="S20" s="1235">
        <f>(U17*U16+(U16*0.4*Z14))*G46</f>
        <v>5441456</v>
      </c>
      <c r="T20" s="1235"/>
      <c r="U20" s="1236"/>
    </row>
    <row r="21" spans="2:18" ht="14.25" thickBot="1">
      <c r="B21" s="671"/>
      <c r="C21" s="99"/>
      <c r="D21" s="672"/>
      <c r="E21" s="43" t="s">
        <v>970</v>
      </c>
      <c r="F21" s="8"/>
      <c r="G21" s="8">
        <v>2</v>
      </c>
      <c r="H21" s="8">
        <v>2</v>
      </c>
      <c r="I21" s="8">
        <v>2</v>
      </c>
      <c r="J21" s="8">
        <v>2</v>
      </c>
      <c r="K21" s="9"/>
      <c r="N21" s="297"/>
      <c r="O21" s="297"/>
      <c r="P21" s="297"/>
      <c r="Q21" s="58"/>
      <c r="R21" s="58"/>
    </row>
    <row r="22" spans="2:21" ht="14.25" thickBot="1">
      <c r="B22" s="642"/>
      <c r="C22" s="121"/>
      <c r="D22" s="144"/>
      <c r="E22" s="43" t="s">
        <v>972</v>
      </c>
      <c r="F22" s="8"/>
      <c r="G22" s="8">
        <v>3</v>
      </c>
      <c r="H22" s="8">
        <v>3</v>
      </c>
      <c r="I22" s="8">
        <v>3</v>
      </c>
      <c r="J22" s="8">
        <v>3</v>
      </c>
      <c r="K22" s="9"/>
      <c r="N22" s="977" t="s">
        <v>817</v>
      </c>
      <c r="O22" s="978"/>
      <c r="P22" s="978"/>
      <c r="Q22" s="978"/>
      <c r="R22" s="978"/>
      <c r="S22" s="978"/>
      <c r="T22" s="978"/>
      <c r="U22" s="979"/>
    </row>
    <row r="23" spans="2:21" ht="14.25" thickBot="1">
      <c r="B23" s="48"/>
      <c r="C23" s="520"/>
      <c r="D23" s="239"/>
      <c r="E23" s="43" t="s">
        <v>1210</v>
      </c>
      <c r="F23" s="8"/>
      <c r="G23" s="8"/>
      <c r="H23" s="8"/>
      <c r="I23" s="8"/>
      <c r="J23" s="8"/>
      <c r="K23" s="9"/>
      <c r="N23" s="24" t="s">
        <v>408</v>
      </c>
      <c r="O23" s="84">
        <v>30</v>
      </c>
      <c r="P23" s="19" t="s">
        <v>51</v>
      </c>
      <c r="Q23" s="76">
        <v>6.9</v>
      </c>
      <c r="R23" s="187" t="s">
        <v>43</v>
      </c>
      <c r="S23" s="83">
        <f>S16</f>
        <v>7</v>
      </c>
      <c r="T23" s="198" t="s">
        <v>66</v>
      </c>
      <c r="U23" s="84">
        <f>IF(S16=4,100,IF(S16=5,88,IF(S16=6,84,IF(S16=7,80,IF(S16=8,76,0)))))</f>
        <v>80</v>
      </c>
    </row>
    <row r="24" spans="2:21" ht="13.5">
      <c r="B24" s="10" t="s">
        <v>212</v>
      </c>
      <c r="C24" s="585"/>
      <c r="D24" s="20">
        <v>10</v>
      </c>
      <c r="E24" s="7" t="s">
        <v>1061</v>
      </c>
      <c r="F24" s="8"/>
      <c r="G24" s="8"/>
      <c r="H24" s="8"/>
      <c r="I24" s="8"/>
      <c r="J24" s="8"/>
      <c r="K24" s="9"/>
      <c r="N24" s="988" t="s">
        <v>107</v>
      </c>
      <c r="O24" s="77" t="s">
        <v>56</v>
      </c>
      <c r="P24" s="4">
        <f>MIN(INT($N$4*Q23*IF($A$10="true",(1+$D$9),1)*(1+$B$33+$E$33+$B$51)),ReadMe!$M$94)</f>
        <v>124779</v>
      </c>
      <c r="Q24" s="975" t="s">
        <v>406</v>
      </c>
      <c r="R24" s="194" t="s">
        <v>56</v>
      </c>
      <c r="S24" s="191">
        <f>MIN(INT(P24*$E$41),ReadMe!$M$94)</f>
        <v>168451</v>
      </c>
      <c r="T24" s="1242" t="s">
        <v>140</v>
      </c>
      <c r="U24" s="1090">
        <f>INT((P25*(1-$G$41))+(S25*$G$41))</f>
        <v>151484</v>
      </c>
    </row>
    <row r="25" spans="2:21" ht="14.25" customHeight="1" thickBot="1">
      <c r="B25" s="14" t="s">
        <v>113</v>
      </c>
      <c r="C25" s="571"/>
      <c r="D25" s="82">
        <f>(S35+(D24*2)/100)</f>
        <v>0.8999999999999999</v>
      </c>
      <c r="E25" s="7" t="s">
        <v>823</v>
      </c>
      <c r="F25" s="517">
        <v>25</v>
      </c>
      <c r="G25" s="517"/>
      <c r="H25" s="517"/>
      <c r="I25" s="517"/>
      <c r="J25" s="517"/>
      <c r="K25" s="518"/>
      <c r="N25" s="1051"/>
      <c r="O25" s="44" t="s">
        <v>57</v>
      </c>
      <c r="P25" s="45">
        <f>INT((P24+P26)/2)</f>
        <v>131711</v>
      </c>
      <c r="Q25" s="1069"/>
      <c r="R25" s="80" t="s">
        <v>57</v>
      </c>
      <c r="S25" s="192">
        <f>INT((S24+S26)/2)</f>
        <v>188207</v>
      </c>
      <c r="T25" s="1243"/>
      <c r="U25" s="1119"/>
    </row>
    <row r="26" spans="2:21" ht="14.25" thickBot="1">
      <c r="B26" s="1245" t="s">
        <v>213</v>
      </c>
      <c r="C26" s="1246"/>
      <c r="D26" s="2">
        <v>9</v>
      </c>
      <c r="E26" s="235" t="s">
        <v>975</v>
      </c>
      <c r="F26" s="8">
        <v>35</v>
      </c>
      <c r="G26" s="41">
        <f>ROUNDDOWN(G3*D27%,0)</f>
        <v>38</v>
      </c>
      <c r="H26" s="41">
        <f>ROUNDDOWN(H3*D27%,0)</f>
        <v>0</v>
      </c>
      <c r="I26" s="41">
        <f>ROUNDDOWN(I3*D27%,0)</f>
        <v>0</v>
      </c>
      <c r="J26" s="41">
        <f>ROUNDDOWN(J3*D27%,0)</f>
        <v>0</v>
      </c>
      <c r="K26" s="9">
        <v>60</v>
      </c>
      <c r="N26" s="999"/>
      <c r="O26" s="69" t="s">
        <v>58</v>
      </c>
      <c r="P26" s="57">
        <f>MIN(INT($P$4*Q23*IF(A10="true",(1+D9),1)*(1+$B$33+$E$33+$B$51)),ReadMe!$M$94)</f>
        <v>138643</v>
      </c>
      <c r="Q26" s="1238"/>
      <c r="R26" s="268" t="s">
        <v>58</v>
      </c>
      <c r="S26" s="676">
        <f>MIN(INT(P26*$F$41),ReadMe!$M$94)</f>
        <v>207964</v>
      </c>
      <c r="T26" s="1244"/>
      <c r="U26" s="1237"/>
    </row>
    <row r="27" spans="2:21" ht="14.25" thickBot="1">
      <c r="B27" s="14" t="s">
        <v>62</v>
      </c>
      <c r="C27" s="571"/>
      <c r="D27" s="47">
        <f>ROUNDUP(D26/2,0)</f>
        <v>5</v>
      </c>
      <c r="E27" s="7" t="s">
        <v>63</v>
      </c>
      <c r="F27" s="44">
        <f>D28</f>
        <v>0</v>
      </c>
      <c r="G27" s="44">
        <f>SUM(G4:G25)</f>
        <v>83</v>
      </c>
      <c r="H27" s="44">
        <f>SUM(H4:H25)</f>
        <v>77</v>
      </c>
      <c r="I27" s="44">
        <f>SUM(I4:I25)</f>
        <v>27</v>
      </c>
      <c r="J27" s="44">
        <f>SUM(J4:J25)</f>
        <v>27</v>
      </c>
      <c r="K27" s="45">
        <f>SUM(K3:K26)+D28</f>
        <v>104</v>
      </c>
      <c r="N27" s="1239" t="s">
        <v>916</v>
      </c>
      <c r="O27" s="1240"/>
      <c r="P27" s="1240"/>
      <c r="Q27" s="1240"/>
      <c r="R27" s="1241"/>
      <c r="S27" s="1235">
        <f>(U24*U23+(U23*0.4*Z14))*G46</f>
        <v>12818176</v>
      </c>
      <c r="T27" s="1235"/>
      <c r="U27" s="1236"/>
    </row>
    <row r="28" spans="2:11" ht="14.25" thickBot="1">
      <c r="B28" s="17" t="s">
        <v>1024</v>
      </c>
      <c r="C28" s="210"/>
      <c r="D28" s="332">
        <v>0</v>
      </c>
      <c r="E28" s="14" t="s">
        <v>55</v>
      </c>
      <c r="F28" s="49">
        <f>SUM(F4:F27)</f>
        <v>213</v>
      </c>
      <c r="G28" s="49">
        <f>INT((G3+G26+G27)*(1+G31))</f>
        <v>969</v>
      </c>
      <c r="H28" s="49">
        <f>INT((H3+H26+H27)*(1+H31))</f>
        <v>81</v>
      </c>
      <c r="I28" s="49">
        <f>INT((I3+I26+I27)*(1+I31))</f>
        <v>31</v>
      </c>
      <c r="J28" s="49">
        <f>INT((J3+J26+J27)*(1+J31))</f>
        <v>31</v>
      </c>
      <c r="K28" s="580">
        <f>($J$28+$H$28*1.2+K27)*(1+K31)</f>
        <v>232.2</v>
      </c>
    </row>
    <row r="29" spans="2:19" ht="14.25" thickBot="1">
      <c r="B29" s="1068" t="s">
        <v>645</v>
      </c>
      <c r="C29" s="1036"/>
      <c r="D29" s="1036"/>
      <c r="E29" s="1036"/>
      <c r="F29" s="1036"/>
      <c r="G29" s="1036"/>
      <c r="H29" s="1036"/>
      <c r="I29" s="1036"/>
      <c r="J29" s="1036"/>
      <c r="K29" s="1037"/>
      <c r="N29" s="977" t="s">
        <v>628</v>
      </c>
      <c r="O29" s="978"/>
      <c r="P29" s="978"/>
      <c r="Q29" s="978"/>
      <c r="R29" s="978"/>
      <c r="S29" s="979"/>
    </row>
    <row r="30" spans="2:19" ht="14.25" thickBot="1">
      <c r="B30" s="1085" t="s">
        <v>443</v>
      </c>
      <c r="C30" s="1086"/>
      <c r="D30" s="1087"/>
      <c r="E30" s="1038" t="s">
        <v>646</v>
      </c>
      <c r="F30" s="1039"/>
      <c r="G30" s="1" t="s">
        <v>650</v>
      </c>
      <c r="H30" s="3" t="s">
        <v>649</v>
      </c>
      <c r="I30" s="3" t="s">
        <v>648</v>
      </c>
      <c r="J30" s="3" t="s">
        <v>647</v>
      </c>
      <c r="K30" s="4" t="s">
        <v>651</v>
      </c>
      <c r="N30" s="24" t="s">
        <v>408</v>
      </c>
      <c r="O30" s="84">
        <f>$D$7</f>
        <v>1</v>
      </c>
      <c r="P30" s="19" t="s">
        <v>51</v>
      </c>
      <c r="Q30" s="76">
        <f>(D7*4+130)/100</f>
        <v>1.34</v>
      </c>
      <c r="R30" s="187"/>
      <c r="S30" s="83"/>
    </row>
    <row r="31" spans="2:21" ht="14.25" thickBot="1">
      <c r="B31" s="1091">
        <v>0</v>
      </c>
      <c r="C31" s="1132"/>
      <c r="D31" s="1093"/>
      <c r="E31" s="1040">
        <v>0</v>
      </c>
      <c r="F31" s="1032"/>
      <c r="G31" s="575">
        <v>0.09</v>
      </c>
      <c r="H31" s="576">
        <v>0</v>
      </c>
      <c r="I31" s="576">
        <v>0</v>
      </c>
      <c r="J31" s="576">
        <v>0</v>
      </c>
      <c r="K31" s="577">
        <v>0</v>
      </c>
      <c r="N31" s="988" t="s">
        <v>107</v>
      </c>
      <c r="O31" s="77" t="s">
        <v>56</v>
      </c>
      <c r="P31" s="4">
        <f>INT($R$4*Q30*IF($A$10="true",(1+$D$9),1)*(1+$B$33+$E$33+$B$51))</f>
        <v>18174</v>
      </c>
      <c r="Q31" s="975" t="s">
        <v>406</v>
      </c>
      <c r="R31" s="194" t="s">
        <v>56</v>
      </c>
      <c r="S31" s="191">
        <f>INT(P31*($E$41-0.15))</f>
        <v>21808</v>
      </c>
      <c r="T31" s="1088" t="s">
        <v>140</v>
      </c>
      <c r="U31" s="1090">
        <f>INT((P32*(1-($G$41-0.3))+(S32*($G$41-0.3))))</f>
        <v>19526</v>
      </c>
    </row>
    <row r="32" spans="2:21" ht="13.5">
      <c r="B32" s="1088" t="s">
        <v>644</v>
      </c>
      <c r="C32" s="1089"/>
      <c r="D32" s="1090"/>
      <c r="E32" s="984" t="s">
        <v>551</v>
      </c>
      <c r="F32" s="976"/>
      <c r="N32" s="1051"/>
      <c r="O32" s="44" t="s">
        <v>57</v>
      </c>
      <c r="P32" s="45">
        <f>INT((P31+P33)/2)</f>
        <v>19183</v>
      </c>
      <c r="Q32" s="1069"/>
      <c r="R32" s="80" t="s">
        <v>57</v>
      </c>
      <c r="S32" s="192">
        <f>INT((S31+S33)/2)</f>
        <v>26048</v>
      </c>
      <c r="T32" s="1233"/>
      <c r="U32" s="1119"/>
    </row>
    <row r="33" spans="2:21" ht="13.5" customHeight="1" thickBot="1">
      <c r="B33" s="1091">
        <v>0</v>
      </c>
      <c r="C33" s="1092"/>
      <c r="D33" s="1093"/>
      <c r="E33" s="1040">
        <v>0</v>
      </c>
      <c r="F33" s="1032"/>
      <c r="N33" s="989"/>
      <c r="O33" s="15" t="s">
        <v>58</v>
      </c>
      <c r="P33" s="16">
        <f>INT($T$4*Q30*IF($A$10="true",(1+$D$9),1)*(1+$B$33+$E$33+$B$51))</f>
        <v>20193</v>
      </c>
      <c r="Q33" s="1070"/>
      <c r="R33" s="87" t="s">
        <v>58</v>
      </c>
      <c r="S33" s="193">
        <f>INT(P33*$F$41)</f>
        <v>30289</v>
      </c>
      <c r="T33" s="1234"/>
      <c r="U33" s="1120"/>
    </row>
    <row r="34" ht="14.25" thickBot="1"/>
    <row r="35" spans="2:19" ht="14.25" thickBot="1">
      <c r="B35" s="1047" t="s">
        <v>1120</v>
      </c>
      <c r="C35" s="1048"/>
      <c r="D35" s="1048"/>
      <c r="E35" s="535" t="s">
        <v>56</v>
      </c>
      <c r="F35" s="19" t="s">
        <v>58</v>
      </c>
      <c r="G35" s="536" t="s">
        <v>750</v>
      </c>
      <c r="I35" s="1041" t="s">
        <v>218</v>
      </c>
      <c r="J35" s="1042"/>
      <c r="K35" s="1043"/>
      <c r="N35" s="1062" t="s">
        <v>1050</v>
      </c>
      <c r="O35" s="1063"/>
      <c r="P35" s="1063"/>
      <c r="Q35" s="1064"/>
      <c r="R35" s="490" t="s">
        <v>113</v>
      </c>
      <c r="S35" s="486">
        <v>0.7</v>
      </c>
    </row>
    <row r="36" spans="2:19" ht="14.25" thickBot="1">
      <c r="B36" s="1133" t="s">
        <v>1122</v>
      </c>
      <c r="C36" s="1134"/>
      <c r="D36" s="1135"/>
      <c r="E36" s="36">
        <v>1.35</v>
      </c>
      <c r="F36" s="539">
        <v>1.5</v>
      </c>
      <c r="G36" s="260">
        <v>0.35</v>
      </c>
      <c r="I36" s="1041" t="s">
        <v>220</v>
      </c>
      <c r="J36" s="1053"/>
      <c r="K36" s="1054"/>
      <c r="N36" s="1205" t="s">
        <v>1051</v>
      </c>
      <c r="O36" s="1206"/>
      <c r="P36" s="487">
        <v>1</v>
      </c>
      <c r="Q36" s="1115" t="s">
        <v>997</v>
      </c>
      <c r="R36" s="1116"/>
      <c r="S36" s="332">
        <v>1</v>
      </c>
    </row>
    <row r="37" spans="2:19" ht="14.25" thickBot="1">
      <c r="B37" s="1051" t="s">
        <v>1117</v>
      </c>
      <c r="C37" s="1052"/>
      <c r="D37" s="548">
        <v>0</v>
      </c>
      <c r="E37" s="538"/>
      <c r="F37" s="537">
        <f>D37/100</f>
        <v>0</v>
      </c>
      <c r="G37" s="543">
        <f>IF(D37=0,0,(5+ROUNDUP(D37/2,0))/100)</f>
        <v>0</v>
      </c>
      <c r="I37" s="871" t="s">
        <v>217</v>
      </c>
      <c r="J37" s="224"/>
      <c r="K37" s="247">
        <v>0</v>
      </c>
      <c r="N37" s="988" t="s">
        <v>107</v>
      </c>
      <c r="O37" s="77" t="s">
        <v>56</v>
      </c>
      <c r="P37" s="4">
        <f>INT($R$4*P36*IF($A$10="true",(1+$D$9),1)*(1+$B$33+$E$33+$B$51))</f>
        <v>13562</v>
      </c>
      <c r="Q37" s="975" t="s">
        <v>406</v>
      </c>
      <c r="R37" s="194" t="s">
        <v>56</v>
      </c>
      <c r="S37" s="191">
        <f>INT(P37*($E$41-0.15))</f>
        <v>16274</v>
      </c>
    </row>
    <row r="38" spans="2:19" ht="14.25" thickBot="1">
      <c r="B38" s="1051" t="s">
        <v>1118</v>
      </c>
      <c r="C38" s="1052"/>
      <c r="D38" s="548">
        <v>0</v>
      </c>
      <c r="E38" s="538">
        <f>D38/100</f>
        <v>0</v>
      </c>
      <c r="F38" s="537"/>
      <c r="G38" s="543">
        <f>IF(D38=0,0,(5+ROUNDUP(D38/2,0))/100)</f>
        <v>0</v>
      </c>
      <c r="N38" s="1051"/>
      <c r="O38" s="44" t="s">
        <v>57</v>
      </c>
      <c r="P38" s="45">
        <f>INT((P37+P39)/2)</f>
        <v>14315</v>
      </c>
      <c r="Q38" s="1069"/>
      <c r="R38" s="80" t="s">
        <v>57</v>
      </c>
      <c r="S38" s="192">
        <f>INT((S37+S39)/2)</f>
        <v>19438</v>
      </c>
    </row>
    <row r="39" spans="1:19" ht="14.25" thickBot="1">
      <c r="A39" s="421" t="b">
        <v>0</v>
      </c>
      <c r="B39" s="1051" t="s">
        <v>1119</v>
      </c>
      <c r="C39" s="1052"/>
      <c r="D39" s="544"/>
      <c r="E39" s="538"/>
      <c r="F39" s="537">
        <f>IF(H39="true",0.15,0)</f>
        <v>0</v>
      </c>
      <c r="G39" s="543">
        <f>IF(H39="true",0.1,0)</f>
        <v>0</v>
      </c>
      <c r="H39" s="421" t="str">
        <f>IF(A39=TRUE,"TRUE",IF(D39=1,"TRUE","FLASE"))</f>
        <v>FLASE</v>
      </c>
      <c r="I39" s="1058" t="s">
        <v>1163</v>
      </c>
      <c r="J39" s="1059"/>
      <c r="K39" s="896"/>
      <c r="L39" s="421" t="b">
        <v>0</v>
      </c>
      <c r="M39" s="514" t="str">
        <f>IF(L39=TRUE,"TRUE",IF(K39=1,"TRUE","FLASE"))</f>
        <v>FLASE</v>
      </c>
      <c r="N39" s="989"/>
      <c r="O39" s="15" t="s">
        <v>58</v>
      </c>
      <c r="P39" s="16">
        <f>INT($T$4*P36*IF($A$10="true",(1+$D$9),1)*(1+$B$33+$E$33+$B$51))</f>
        <v>15069</v>
      </c>
      <c r="Q39" s="1070"/>
      <c r="R39" s="87" t="s">
        <v>58</v>
      </c>
      <c r="S39" s="193">
        <f>INT(P39*$F$41)</f>
        <v>22603</v>
      </c>
    </row>
    <row r="40" spans="2:19" ht="14.25" thickBot="1">
      <c r="B40" s="1055" t="s">
        <v>1121</v>
      </c>
      <c r="C40" s="1056"/>
      <c r="D40" s="1057"/>
      <c r="E40" s="545">
        <v>0</v>
      </c>
      <c r="F40" s="546">
        <v>0</v>
      </c>
      <c r="G40" s="547">
        <v>0</v>
      </c>
      <c r="I40" s="637" t="s">
        <v>787</v>
      </c>
      <c r="J40" s="893"/>
      <c r="K40" s="894">
        <v>0</v>
      </c>
      <c r="N40" s="1065" t="s">
        <v>127</v>
      </c>
      <c r="O40" s="1066"/>
      <c r="P40" s="1067"/>
      <c r="Q40" s="1035">
        <f>INT((P39*(1-$G$41))+(S39*$G$41))</f>
        <v>17705</v>
      </c>
      <c r="R40" s="1027"/>
      <c r="S40" s="1028"/>
    </row>
    <row r="41" spans="2:19" ht="14.25" thickBot="1">
      <c r="B41" s="1044" t="s">
        <v>1123</v>
      </c>
      <c r="C41" s="1045"/>
      <c r="D41" s="1046"/>
      <c r="E41" s="540">
        <f>E36+MAX(E38,E39)+E40</f>
        <v>1.35</v>
      </c>
      <c r="F41" s="541">
        <f>F36+MAX(F37,F39)+F40</f>
        <v>1.5</v>
      </c>
      <c r="G41" s="542">
        <f>G36+MAX(G37,G38,G39)+G40</f>
        <v>0.35</v>
      </c>
      <c r="I41" s="1060" t="s">
        <v>530</v>
      </c>
      <c r="J41" s="1061"/>
      <c r="K41" s="895">
        <f>IF(M39="true",IF(K40&gt;0,10+ROUNDUP(K40/3,0),11)/100,0)</f>
        <v>0</v>
      </c>
      <c r="L41" s="342"/>
      <c r="M41" s="342"/>
      <c r="N41" s="1065" t="s">
        <v>407</v>
      </c>
      <c r="O41" s="1066"/>
      <c r="P41" s="1067"/>
      <c r="Q41" s="1035">
        <f>Q40*S36</f>
        <v>17705</v>
      </c>
      <c r="R41" s="1027"/>
      <c r="S41" s="1028"/>
    </row>
    <row r="42" spans="2:7" ht="14.25" thickBot="1">
      <c r="B42" s="1136" t="s">
        <v>135</v>
      </c>
      <c r="C42" s="1137"/>
      <c r="D42" s="1138"/>
      <c r="E42" s="1011">
        <f>(($E$41+$F$41)/2-1)*$G$41+1</f>
        <v>1.14875</v>
      </c>
      <c r="F42" s="1012"/>
      <c r="G42" s="1005"/>
    </row>
    <row r="43" spans="9:11" ht="14.25" thickBot="1">
      <c r="I43" s="1075" t="s">
        <v>1188</v>
      </c>
      <c r="J43" s="1076"/>
      <c r="K43" s="1077"/>
    </row>
    <row r="44" spans="2:13" ht="13.5">
      <c r="B44" s="1049" t="s">
        <v>416</v>
      </c>
      <c r="C44" s="1050"/>
      <c r="D44" s="566">
        <v>125</v>
      </c>
      <c r="E44" s="1147" t="s">
        <v>417</v>
      </c>
      <c r="F44" s="1148"/>
      <c r="G44" s="26">
        <f>IF(D2&gt;D44,0,$D$44-$D$2)</f>
        <v>0</v>
      </c>
      <c r="I44" s="439" t="s">
        <v>1189</v>
      </c>
      <c r="J44" s="572"/>
      <c r="K44" s="223">
        <v>0</v>
      </c>
      <c r="L44" s="342"/>
      <c r="M44" s="342"/>
    </row>
    <row r="45" spans="2:11" ht="14.25" thickBot="1">
      <c r="B45" s="1006" t="s">
        <v>450</v>
      </c>
      <c r="C45" s="1007"/>
      <c r="D45" s="9">
        <v>12</v>
      </c>
      <c r="E45" s="1006" t="s">
        <v>452</v>
      </c>
      <c r="F45" s="1007"/>
      <c r="G45" s="665">
        <f>IF(G44&gt;0,"-",D45)</f>
        <v>12</v>
      </c>
      <c r="I45" s="440" t="s">
        <v>1190</v>
      </c>
      <c r="J45" s="573"/>
      <c r="K45" s="441">
        <f>IF(K44&gt;0,(K44+10)/100,0)</f>
        <v>0</v>
      </c>
    </row>
    <row r="46" spans="2:7" ht="14.25" thickBot="1">
      <c r="B46" s="997" t="s">
        <v>415</v>
      </c>
      <c r="C46" s="998"/>
      <c r="D46" s="9">
        <v>0</v>
      </c>
      <c r="E46" s="1006" t="s">
        <v>451</v>
      </c>
      <c r="F46" s="1007"/>
      <c r="G46" s="543">
        <f>MAX((MIN(100+SQRT($K$28)-SQRT($D$45),100)-5*G44)/100,0)</f>
        <v>1</v>
      </c>
    </row>
    <row r="47" spans="2:13" ht="14.25" thickBot="1">
      <c r="B47" s="1008" t="s">
        <v>642</v>
      </c>
      <c r="C47" s="1009"/>
      <c r="D47" s="567">
        <v>0.25</v>
      </c>
      <c r="E47" s="1145" t="s">
        <v>643</v>
      </c>
      <c r="F47" s="1146"/>
      <c r="G47" s="29">
        <f>1-(D47*(1-K45))</f>
        <v>0.75</v>
      </c>
      <c r="I47" s="1003" t="s">
        <v>1110</v>
      </c>
      <c r="J47" s="1004"/>
      <c r="K47" s="996"/>
      <c r="L47" s="342"/>
      <c r="M47" s="168"/>
    </row>
    <row r="48" spans="4:13" ht="14.25" thickBot="1">
      <c r="D48" s="421">
        <f>$D$46*(1-($K$45+$B$31))</f>
        <v>0</v>
      </c>
      <c r="I48" s="1083" t="s">
        <v>652</v>
      </c>
      <c r="J48" s="1084"/>
      <c r="K48" s="493"/>
      <c r="L48" s="514" t="b">
        <v>0</v>
      </c>
      <c r="M48" s="514" t="str">
        <f>IF(L48=TRUE,"TRUE",IF(K48=1,"TRUE","FLASE"))</f>
        <v>FLASE</v>
      </c>
    </row>
    <row r="49" spans="2:13" ht="13.5">
      <c r="B49" s="1078" t="s">
        <v>749</v>
      </c>
      <c r="C49" s="1079"/>
      <c r="D49" s="1080"/>
      <c r="I49" s="994" t="s">
        <v>653</v>
      </c>
      <c r="J49" s="995"/>
      <c r="K49" s="494"/>
      <c r="L49" s="514" t="b">
        <v>0</v>
      </c>
      <c r="M49" s="514" t="str">
        <f>IF(L49=TRUE,"TRUE",IF(K49=1,"TRUE","FLASE"))</f>
        <v>FLASE</v>
      </c>
    </row>
    <row r="50" spans="1:13" ht="14.25" thickBot="1">
      <c r="A50" s="342"/>
      <c r="B50" s="999" t="s">
        <v>551</v>
      </c>
      <c r="C50" s="1000"/>
      <c r="D50" s="1001"/>
      <c r="I50" s="1002" t="s">
        <v>530</v>
      </c>
      <c r="J50" s="993"/>
      <c r="K50" s="225">
        <f>IF(M48="TRUE",1.04,IF(M49="TRUE",1.02,1))</f>
        <v>1</v>
      </c>
      <c r="L50" s="352"/>
      <c r="M50" s="352"/>
    </row>
    <row r="51" spans="2:4" ht="14.25" thickBot="1">
      <c r="B51" s="1142">
        <v>0</v>
      </c>
      <c r="C51" s="1143"/>
      <c r="D51" s="1144"/>
    </row>
    <row r="52" ht="14.25" thickBot="1"/>
    <row r="53" spans="2:12" ht="14.25" thickBot="1">
      <c r="B53" s="1023" t="s">
        <v>64</v>
      </c>
      <c r="C53" s="1024"/>
      <c r="D53" s="1024"/>
      <c r="E53" s="1024"/>
      <c r="F53" s="1024"/>
      <c r="G53" s="1024"/>
      <c r="H53" s="1024"/>
      <c r="I53" s="1024"/>
      <c r="J53" s="1024"/>
      <c r="K53" s="1024"/>
      <c r="L53" s="1025"/>
    </row>
    <row r="54" spans="2:12" ht="13.5">
      <c r="B54" s="1139" t="s">
        <v>343</v>
      </c>
      <c r="C54" s="1140"/>
      <c r="D54" s="1140"/>
      <c r="E54" s="1140"/>
      <c r="F54" s="1140"/>
      <c r="G54" s="1140"/>
      <c r="H54" s="1140"/>
      <c r="I54" s="1140"/>
      <c r="J54" s="1140"/>
      <c r="K54" s="1140"/>
      <c r="L54" s="1141"/>
    </row>
    <row r="55" spans="2:12" ht="13.5">
      <c r="B55" s="1200" t="s">
        <v>985</v>
      </c>
      <c r="C55" s="1201"/>
      <c r="D55" s="1201"/>
      <c r="E55" s="1201"/>
      <c r="F55" s="1201"/>
      <c r="G55" s="1201"/>
      <c r="H55" s="1201"/>
      <c r="I55" s="1201"/>
      <c r="J55" s="1201"/>
      <c r="K55" s="1201"/>
      <c r="L55" s="1202"/>
    </row>
    <row r="56" spans="2:12" ht="13.5">
      <c r="B56" s="1200" t="s">
        <v>344</v>
      </c>
      <c r="C56" s="1201"/>
      <c r="D56" s="1201"/>
      <c r="E56" s="1201"/>
      <c r="F56" s="1201"/>
      <c r="G56" s="1201"/>
      <c r="H56" s="1201"/>
      <c r="I56" s="1201"/>
      <c r="J56" s="1201"/>
      <c r="K56" s="1201"/>
      <c r="L56" s="1202"/>
    </row>
    <row r="57" spans="2:12" ht="13.5">
      <c r="B57" s="1200" t="s">
        <v>350</v>
      </c>
      <c r="C57" s="1201"/>
      <c r="D57" s="1201"/>
      <c r="E57" s="1201"/>
      <c r="F57" s="1201"/>
      <c r="G57" s="1201"/>
      <c r="H57" s="1201"/>
      <c r="I57" s="1201"/>
      <c r="J57" s="1201"/>
      <c r="K57" s="1201"/>
      <c r="L57" s="1202"/>
    </row>
    <row r="58" spans="2:12" ht="13.5">
      <c r="B58" s="1200" t="s">
        <v>352</v>
      </c>
      <c r="C58" s="1201"/>
      <c r="D58" s="1201"/>
      <c r="E58" s="1201"/>
      <c r="F58" s="1201"/>
      <c r="G58" s="1201"/>
      <c r="H58" s="1201"/>
      <c r="I58" s="1201"/>
      <c r="J58" s="1201"/>
      <c r="K58" s="1201"/>
      <c r="L58" s="1202"/>
    </row>
    <row r="59" spans="2:12" ht="14.25" thickBot="1">
      <c r="B59" s="1267" t="s">
        <v>984</v>
      </c>
      <c r="C59" s="1268"/>
      <c r="D59" s="1268"/>
      <c r="E59" s="1268"/>
      <c r="F59" s="1268"/>
      <c r="G59" s="1268"/>
      <c r="H59" s="1268"/>
      <c r="I59" s="1268"/>
      <c r="J59" s="1268"/>
      <c r="K59" s="1268"/>
      <c r="L59" s="1269"/>
    </row>
    <row r="60" ht="14.25" thickBot="1"/>
    <row r="61" spans="2:12" ht="14.25" thickBot="1">
      <c r="B61" s="1205" t="s">
        <v>393</v>
      </c>
      <c r="C61" s="1254"/>
      <c r="D61" s="1254"/>
      <c r="E61" s="1254"/>
      <c r="F61" s="1254"/>
      <c r="G61" s="1254"/>
      <c r="H61" s="1254"/>
      <c r="I61" s="1254"/>
      <c r="J61" s="1254"/>
      <c r="K61" s="1254"/>
      <c r="L61" s="1255"/>
    </row>
    <row r="62" spans="2:12" ht="13.5">
      <c r="B62" s="1259" t="s">
        <v>509</v>
      </c>
      <c r="C62" s="1260"/>
      <c r="D62" s="1260"/>
      <c r="E62" s="1260"/>
      <c r="F62" s="1260"/>
      <c r="G62" s="1260"/>
      <c r="H62" s="1260"/>
      <c r="I62" s="1260"/>
      <c r="J62" s="1260"/>
      <c r="K62" s="1260"/>
      <c r="L62" s="1261"/>
    </row>
    <row r="63" spans="2:12" ht="13.5">
      <c r="B63" s="1256" t="s">
        <v>510</v>
      </c>
      <c r="C63" s="1257"/>
      <c r="D63" s="1257"/>
      <c r="E63" s="1257"/>
      <c r="F63" s="1257"/>
      <c r="G63" s="1257"/>
      <c r="H63" s="1257"/>
      <c r="I63" s="1257"/>
      <c r="J63" s="1257"/>
      <c r="K63" s="1257"/>
      <c r="L63" s="1258"/>
    </row>
    <row r="64" spans="2:12" ht="13.5">
      <c r="B64" s="1256" t="s">
        <v>508</v>
      </c>
      <c r="C64" s="1257"/>
      <c r="D64" s="1257"/>
      <c r="E64" s="1257"/>
      <c r="F64" s="1257"/>
      <c r="G64" s="1257"/>
      <c r="H64" s="1257"/>
      <c r="I64" s="1257"/>
      <c r="J64" s="1257"/>
      <c r="K64" s="1257"/>
      <c r="L64" s="1258"/>
    </row>
    <row r="65" spans="2:12" ht="14.25" thickBot="1">
      <c r="B65" s="1251" t="s">
        <v>503</v>
      </c>
      <c r="C65" s="1252"/>
      <c r="D65" s="1252"/>
      <c r="E65" s="1252"/>
      <c r="F65" s="1252"/>
      <c r="G65" s="1252"/>
      <c r="H65" s="1252"/>
      <c r="I65" s="1252"/>
      <c r="J65" s="1252"/>
      <c r="K65" s="1252"/>
      <c r="L65" s="1253"/>
    </row>
  </sheetData>
  <sheetProtection/>
  <protectedRanges>
    <protectedRange sqref="D8 F26 D2 D26 D24 K26 D5 F3:K5" name="範囲1"/>
    <protectedRange sqref="D44:D45 D47" name="範囲1_2"/>
    <protectedRange sqref="F6:K25" name="範囲1_2_1"/>
  </protectedRanges>
  <mergeCells count="102">
    <mergeCell ref="Z14:AB14"/>
    <mergeCell ref="W9:AB9"/>
    <mergeCell ref="W11:W13"/>
    <mergeCell ref="Z11:Z13"/>
    <mergeCell ref="B59:L59"/>
    <mergeCell ref="W2:X2"/>
    <mergeCell ref="B44:C44"/>
    <mergeCell ref="E44:F44"/>
    <mergeCell ref="B37:C37"/>
    <mergeCell ref="B36:D36"/>
    <mergeCell ref="I49:J49"/>
    <mergeCell ref="U31:U33"/>
    <mergeCell ref="Q13:R13"/>
    <mergeCell ref="W14:Y14"/>
    <mergeCell ref="S11:U13"/>
    <mergeCell ref="Q8:Q10"/>
    <mergeCell ref="N24:N26"/>
    <mergeCell ref="T17:T19"/>
    <mergeCell ref="R2:T2"/>
    <mergeCell ref="T8:T10"/>
    <mergeCell ref="N6:U6"/>
    <mergeCell ref="N8:N10"/>
    <mergeCell ref="U8:U10"/>
    <mergeCell ref="N31:N33"/>
    <mergeCell ref="I36:K36"/>
    <mergeCell ref="F1:P1"/>
    <mergeCell ref="N35:Q35"/>
    <mergeCell ref="N36:O36"/>
    <mergeCell ref="N29:S29"/>
    <mergeCell ref="Q31:Q33"/>
    <mergeCell ref="Q24:Q26"/>
    <mergeCell ref="S20:U20"/>
    <mergeCell ref="N27:R27"/>
    <mergeCell ref="Q37:Q39"/>
    <mergeCell ref="Q41:S41"/>
    <mergeCell ref="Q40:S40"/>
    <mergeCell ref="Q36:R36"/>
    <mergeCell ref="N41:P41"/>
    <mergeCell ref="N11:N13"/>
    <mergeCell ref="N2:P2"/>
    <mergeCell ref="B32:D32"/>
    <mergeCell ref="E32:F32"/>
    <mergeCell ref="B7:C7"/>
    <mergeCell ref="E30:F30"/>
    <mergeCell ref="B31:D31"/>
    <mergeCell ref="E31:F31"/>
    <mergeCell ref="N15:U15"/>
    <mergeCell ref="B65:L65"/>
    <mergeCell ref="B61:L61"/>
    <mergeCell ref="B63:L63"/>
    <mergeCell ref="N37:N39"/>
    <mergeCell ref="N40:P40"/>
    <mergeCell ref="B40:D40"/>
    <mergeCell ref="B41:D41"/>
    <mergeCell ref="B42:D42"/>
    <mergeCell ref="B64:L64"/>
    <mergeCell ref="B62:L62"/>
    <mergeCell ref="B58:L58"/>
    <mergeCell ref="B35:D35"/>
    <mergeCell ref="B2:C2"/>
    <mergeCell ref="B26:C26"/>
    <mergeCell ref="B4:D4"/>
    <mergeCell ref="B29:K29"/>
    <mergeCell ref="B30:D30"/>
    <mergeCell ref="B6:C6"/>
    <mergeCell ref="B8:C8"/>
    <mergeCell ref="E42:G42"/>
    <mergeCell ref="S27:U27"/>
    <mergeCell ref="U24:U26"/>
    <mergeCell ref="U17:U19"/>
    <mergeCell ref="N22:U22"/>
    <mergeCell ref="N17:N19"/>
    <mergeCell ref="Q17:Q19"/>
    <mergeCell ref="N20:R20"/>
    <mergeCell ref="T24:T26"/>
    <mergeCell ref="T31:T33"/>
    <mergeCell ref="I47:K47"/>
    <mergeCell ref="I48:J48"/>
    <mergeCell ref="B57:L57"/>
    <mergeCell ref="B50:D50"/>
    <mergeCell ref="B49:D49"/>
    <mergeCell ref="I50:J50"/>
    <mergeCell ref="B51:D51"/>
    <mergeCell ref="B56:L56"/>
    <mergeCell ref="B47:C47"/>
    <mergeCell ref="B9:C9"/>
    <mergeCell ref="B46:C46"/>
    <mergeCell ref="B33:D33"/>
    <mergeCell ref="E33:F33"/>
    <mergeCell ref="B45:C45"/>
    <mergeCell ref="E45:F45"/>
    <mergeCell ref="E46:F46"/>
    <mergeCell ref="B39:C39"/>
    <mergeCell ref="B38:C38"/>
    <mergeCell ref="B55:L55"/>
    <mergeCell ref="E47:F47"/>
    <mergeCell ref="I35:K35"/>
    <mergeCell ref="B54:L54"/>
    <mergeCell ref="I39:J39"/>
    <mergeCell ref="I41:J41"/>
    <mergeCell ref="I43:K43"/>
    <mergeCell ref="B53:L53"/>
  </mergeCells>
  <printOptions/>
  <pageMargins left="0.75" right="0.75" top="1" bottom="1" header="0.512" footer="0.512"/>
  <pageSetup horizontalDpi="300" verticalDpi="300" orientation="portrait" paperSize="9" r:id="rId2"/>
  <ignoredErrors>
    <ignoredError sqref="G27:J27" formulaRange="1"/>
  </ignoredErrors>
  <legacyDrawing r:id="rId1"/>
</worksheet>
</file>

<file path=xl/worksheets/sheet4.xml><?xml version="1.0" encoding="utf-8"?>
<worksheet xmlns="http://schemas.openxmlformats.org/spreadsheetml/2006/main" xmlns:r="http://schemas.openxmlformats.org/officeDocument/2006/relationships">
  <dimension ref="A1:AA64"/>
  <sheetViews>
    <sheetView workbookViewId="0" topLeftCell="A1">
      <selection activeCell="A1" sqref="A1"/>
    </sheetView>
  </sheetViews>
  <sheetFormatPr defaultColWidth="9.00390625" defaultRowHeight="13.5"/>
  <cols>
    <col min="1" max="1" width="2.625" style="0" customWidth="1"/>
    <col min="2" max="11" width="5.625" style="0" customWidth="1"/>
    <col min="12" max="13" width="2.625" style="0" customWidth="1"/>
    <col min="21" max="21" width="1.625" style="0" customWidth="1"/>
  </cols>
  <sheetData>
    <row r="1" spans="6:16" ht="24.75" thickBot="1">
      <c r="F1" s="990" t="s">
        <v>214</v>
      </c>
      <c r="G1" s="990"/>
      <c r="H1" s="990"/>
      <c r="I1" s="990"/>
      <c r="J1" s="990"/>
      <c r="K1" s="990"/>
      <c r="L1" s="990"/>
      <c r="M1" s="990"/>
      <c r="N1" s="990"/>
      <c r="O1" s="990"/>
      <c r="P1" s="990"/>
    </row>
    <row r="2" spans="2:25" ht="14.25" thickBot="1">
      <c r="B2" s="1078" t="s">
        <v>37</v>
      </c>
      <c r="C2" s="1094"/>
      <c r="D2" s="2">
        <v>150</v>
      </c>
      <c r="E2" s="1"/>
      <c r="F2" s="3" t="s">
        <v>129</v>
      </c>
      <c r="G2" s="3" t="s">
        <v>38</v>
      </c>
      <c r="H2" s="3" t="s">
        <v>39</v>
      </c>
      <c r="I2" s="3" t="s">
        <v>1115</v>
      </c>
      <c r="J2" s="3" t="s">
        <v>1116</v>
      </c>
      <c r="K2" s="26" t="s">
        <v>430</v>
      </c>
      <c r="N2" s="991" t="s">
        <v>104</v>
      </c>
      <c r="O2" s="992"/>
      <c r="P2" s="987"/>
      <c r="R2" s="1101" t="s">
        <v>418</v>
      </c>
      <c r="S2" s="1102"/>
      <c r="T2" s="1103"/>
      <c r="V2" s="977" t="s">
        <v>775</v>
      </c>
      <c r="W2" s="978"/>
      <c r="X2" s="978"/>
      <c r="Y2" s="979"/>
    </row>
    <row r="3" spans="2:25" ht="14.25" thickBot="1">
      <c r="B3" s="5" t="s">
        <v>40</v>
      </c>
      <c r="C3" s="569"/>
      <c r="D3" s="6">
        <f>((D2-1)*5+IF(D2&gt;=120,35,IF(D2&gt;=70,30,25)))-(G3+H3+I3+J3)</f>
        <v>0</v>
      </c>
      <c r="E3" s="7" t="s">
        <v>41</v>
      </c>
      <c r="F3" s="8"/>
      <c r="G3" s="8">
        <v>72</v>
      </c>
      <c r="H3" s="8">
        <v>700</v>
      </c>
      <c r="I3" s="8">
        <v>4</v>
      </c>
      <c r="J3" s="8">
        <v>4</v>
      </c>
      <c r="K3" s="9"/>
      <c r="N3" s="10" t="s">
        <v>69</v>
      </c>
      <c r="O3" s="11" t="s">
        <v>70</v>
      </c>
      <c r="P3" s="12" t="s">
        <v>71</v>
      </c>
      <c r="R3" s="1" t="s">
        <v>69</v>
      </c>
      <c r="S3" s="3" t="s">
        <v>70</v>
      </c>
      <c r="T3" s="4" t="s">
        <v>71</v>
      </c>
      <c r="V3" s="52" t="s">
        <v>134</v>
      </c>
      <c r="W3" s="558">
        <f>(2*20)/100</f>
        <v>0.4</v>
      </c>
      <c r="X3" s="53" t="s">
        <v>51</v>
      </c>
      <c r="Y3" s="75">
        <f>(100+5*(20/2))/100</f>
        <v>1.5</v>
      </c>
    </row>
    <row r="4" spans="2:25" ht="14.25" thickBot="1">
      <c r="B4" s="1023" t="s">
        <v>126</v>
      </c>
      <c r="C4" s="1024"/>
      <c r="D4" s="1024"/>
      <c r="E4" s="7" t="s">
        <v>42</v>
      </c>
      <c r="F4" s="8">
        <v>123</v>
      </c>
      <c r="G4" s="8"/>
      <c r="H4" s="8">
        <v>7</v>
      </c>
      <c r="I4" s="8"/>
      <c r="J4" s="8"/>
      <c r="K4" s="9"/>
      <c r="N4" s="14">
        <f>$P$4*$D$25</f>
        <v>8565.7152</v>
      </c>
      <c r="O4" s="15">
        <f>(P4+N4)/2</f>
        <v>9321.5136</v>
      </c>
      <c r="P4" s="16">
        <f>$Q$4*($F$28+INT(($F$28-$F$25)*$E$31)+INT($F$28*($K$41+$K$50-1)))/100</f>
        <v>10077.312</v>
      </c>
      <c r="Q4" s="421">
        <f>1.2*(4*$H$28+$G$28)</f>
        <v>4498.8</v>
      </c>
      <c r="R4" s="14">
        <f>N4*$G$47*(1-$G$44/100)</f>
        <v>6852.572160000001</v>
      </c>
      <c r="S4" s="15">
        <f>O4*$G$47*(1-$G$44/100)</f>
        <v>7457.2108800000005</v>
      </c>
      <c r="T4" s="16">
        <f>P4*$G$47*(1-$G$44/100)</f>
        <v>8061.8496000000005</v>
      </c>
      <c r="V4" s="549" t="s">
        <v>704</v>
      </c>
      <c r="W4" s="560">
        <f>MIN(INT(($R$4*Y3)*(1+$B$33+$E$33+$B$51)),ReadMe!$M$94)</f>
        <v>10278</v>
      </c>
      <c r="X4" s="265" t="s">
        <v>639</v>
      </c>
      <c r="Y4" s="160">
        <f>MIN(INT(W4*E41),ReadMe!$M$94)</f>
        <v>13875</v>
      </c>
    </row>
    <row r="5" spans="2:25" ht="14.25" thickBot="1">
      <c r="B5" s="169" t="s">
        <v>43</v>
      </c>
      <c r="C5" s="416"/>
      <c r="D5" s="170">
        <v>6</v>
      </c>
      <c r="E5" s="7" t="s">
        <v>44</v>
      </c>
      <c r="F5" s="8"/>
      <c r="G5" s="8"/>
      <c r="H5" s="8"/>
      <c r="I5" s="8"/>
      <c r="J5" s="8"/>
      <c r="K5" s="9"/>
      <c r="V5" s="291" t="s">
        <v>705</v>
      </c>
      <c r="W5" s="561">
        <f>INT((W4+W6)/2)</f>
        <v>11185</v>
      </c>
      <c r="X5" s="266" t="s">
        <v>640</v>
      </c>
      <c r="Y5" s="161">
        <f>INT((Y4+Y6)/2)</f>
        <v>17820</v>
      </c>
    </row>
    <row r="6" spans="2:27" ht="14.25" thickBot="1">
      <c r="B6" s="37" t="s">
        <v>799</v>
      </c>
      <c r="C6" s="654"/>
      <c r="D6" s="142">
        <v>30</v>
      </c>
      <c r="E6" s="43" t="s">
        <v>45</v>
      </c>
      <c r="F6" s="8"/>
      <c r="G6" s="8">
        <v>10</v>
      </c>
      <c r="H6" s="8">
        <v>20</v>
      </c>
      <c r="I6" s="8">
        <v>10</v>
      </c>
      <c r="J6" s="8">
        <v>10</v>
      </c>
      <c r="K6" s="9">
        <v>10</v>
      </c>
      <c r="O6" s="977" t="s">
        <v>799</v>
      </c>
      <c r="P6" s="978"/>
      <c r="Q6" s="978"/>
      <c r="R6" s="978"/>
      <c r="S6" s="978"/>
      <c r="T6" s="979"/>
      <c r="V6" s="293" t="s">
        <v>638</v>
      </c>
      <c r="W6" s="562">
        <f>MIN(INT(($T$4*Y3)*(1+$B$33+$E$33+$B$51)),ReadMe!$M$94)</f>
        <v>12092</v>
      </c>
      <c r="X6" s="267" t="s">
        <v>641</v>
      </c>
      <c r="Y6" s="162">
        <f>MIN(INT(W6*F41),ReadMe!$M$94)</f>
        <v>21765</v>
      </c>
      <c r="AA6" s="22"/>
    </row>
    <row r="7" spans="2:27" ht="14.25" thickBot="1">
      <c r="B7" s="40" t="s">
        <v>755</v>
      </c>
      <c r="C7" s="41"/>
      <c r="D7" s="9">
        <v>30</v>
      </c>
      <c r="E7" s="43" t="s">
        <v>46</v>
      </c>
      <c r="F7" s="8"/>
      <c r="G7" s="8"/>
      <c r="H7" s="8">
        <v>7</v>
      </c>
      <c r="I7" s="8"/>
      <c r="J7" s="8"/>
      <c r="K7" s="9"/>
      <c r="O7" s="263" t="s">
        <v>223</v>
      </c>
      <c r="P7" s="221">
        <f>D6</f>
        <v>30</v>
      </c>
      <c r="Q7" s="240" t="s">
        <v>51</v>
      </c>
      <c r="R7" s="563">
        <f>(140+2*D6)/100</f>
        <v>2</v>
      </c>
      <c r="S7" s="564" t="s">
        <v>130</v>
      </c>
      <c r="T7" s="565">
        <v>500</v>
      </c>
      <c r="V7" s="1285" t="s">
        <v>225</v>
      </c>
      <c r="W7" s="1286"/>
      <c r="X7" s="1287">
        <f>INT(W5*(1-G41)+Y5*G41)</f>
        <v>15497</v>
      </c>
      <c r="Y7" s="1288"/>
      <c r="Z7" s="559"/>
      <c r="AA7" s="559"/>
    </row>
    <row r="8" spans="2:20" ht="13.5" customHeight="1" thickBot="1">
      <c r="B8" s="679" t="s">
        <v>906</v>
      </c>
      <c r="C8" s="55"/>
      <c r="D8" s="247">
        <v>20</v>
      </c>
      <c r="E8" s="43" t="s">
        <v>47</v>
      </c>
      <c r="F8" s="8">
        <v>2</v>
      </c>
      <c r="G8" s="8"/>
      <c r="H8" s="8">
        <v>2</v>
      </c>
      <c r="I8" s="8"/>
      <c r="J8" s="8"/>
      <c r="K8" s="9">
        <v>7</v>
      </c>
      <c r="O8" s="988" t="s">
        <v>131</v>
      </c>
      <c r="P8" s="85" t="s">
        <v>56</v>
      </c>
      <c r="Q8" s="554">
        <f>MIN(INT(($R$4*R7)*(1+$B$33+$E$33+$B$51)),ReadMe!$M$94)</f>
        <v>13705</v>
      </c>
      <c r="R8" s="1331" t="s">
        <v>224</v>
      </c>
      <c r="S8" s="96" t="s">
        <v>56</v>
      </c>
      <c r="T8" s="160">
        <f>MIN(INT(Q8*E41),ReadMe!$M$94)</f>
        <v>18501</v>
      </c>
    </row>
    <row r="9" spans="2:20" ht="14.25" thickBot="1">
      <c r="B9" s="23"/>
      <c r="C9" s="22"/>
      <c r="D9" s="143"/>
      <c r="E9" s="43" t="s">
        <v>48</v>
      </c>
      <c r="F9" s="8"/>
      <c r="G9" s="8">
        <v>7</v>
      </c>
      <c r="H9" s="8">
        <v>7</v>
      </c>
      <c r="I9" s="8">
        <v>7</v>
      </c>
      <c r="J9" s="8">
        <v>7</v>
      </c>
      <c r="K9" s="9"/>
      <c r="O9" s="1051"/>
      <c r="P9" s="94" t="s">
        <v>57</v>
      </c>
      <c r="Q9" s="555">
        <f>INT((Q8+Q10)/2)</f>
        <v>14914</v>
      </c>
      <c r="R9" s="1332"/>
      <c r="S9" s="97" t="s">
        <v>57</v>
      </c>
      <c r="T9" s="161">
        <f>INT((T8+T10)/2)</f>
        <v>23761</v>
      </c>
    </row>
    <row r="10" spans="2:27" ht="14.25" thickBot="1">
      <c r="B10" s="23"/>
      <c r="C10" s="22"/>
      <c r="D10" s="143"/>
      <c r="E10" s="43" t="s">
        <v>49</v>
      </c>
      <c r="F10" s="8"/>
      <c r="G10" s="8"/>
      <c r="H10" s="8">
        <v>10</v>
      </c>
      <c r="I10" s="8"/>
      <c r="J10" s="8"/>
      <c r="K10" s="9"/>
      <c r="O10" s="989"/>
      <c r="P10" s="95" t="s">
        <v>133</v>
      </c>
      <c r="Q10" s="556">
        <f>MIN(INT(($T$4*R7)*(1+$B$33+$E$33+$B$51)),ReadMe!$M$94)</f>
        <v>16123</v>
      </c>
      <c r="R10" s="1333"/>
      <c r="S10" s="98" t="s">
        <v>133</v>
      </c>
      <c r="T10" s="162">
        <f>MIN(INT(Q10*F41),ReadMe!$M$94)</f>
        <v>29021</v>
      </c>
      <c r="V10" s="977" t="s">
        <v>803</v>
      </c>
      <c r="W10" s="978"/>
      <c r="X10" s="978"/>
      <c r="Y10" s="978"/>
      <c r="Z10" s="978"/>
      <c r="AA10" s="979"/>
    </row>
    <row r="11" spans="2:27" ht="14.25" thickBot="1">
      <c r="B11" s="23"/>
      <c r="C11" s="22"/>
      <c r="D11" s="143"/>
      <c r="E11" s="43" t="s">
        <v>390</v>
      </c>
      <c r="F11" s="8"/>
      <c r="G11" s="8">
        <v>10</v>
      </c>
      <c r="H11" s="8">
        <v>20</v>
      </c>
      <c r="I11" s="8"/>
      <c r="J11" s="8"/>
      <c r="K11" s="9">
        <v>11</v>
      </c>
      <c r="O11" s="1282" t="s">
        <v>225</v>
      </c>
      <c r="P11" s="1283"/>
      <c r="Q11" s="1284"/>
      <c r="R11" s="1337">
        <f>INT(Q9*(1-$G$41)+T9*$G$41)</f>
        <v>20664</v>
      </c>
      <c r="S11" s="1337"/>
      <c r="T11" s="1338"/>
      <c r="V11" s="1289" t="s">
        <v>800</v>
      </c>
      <c r="W11" s="1290"/>
      <c r="X11" s="1289" t="s">
        <v>801</v>
      </c>
      <c r="Y11" s="1291"/>
      <c r="Z11" s="1290" t="s">
        <v>802</v>
      </c>
      <c r="AA11" s="1291"/>
    </row>
    <row r="12" spans="2:27" ht="14.25" thickBot="1">
      <c r="B12" s="23"/>
      <c r="C12" s="22"/>
      <c r="D12" s="143"/>
      <c r="E12" s="43" t="s">
        <v>339</v>
      </c>
      <c r="F12" s="8"/>
      <c r="G12" s="8"/>
      <c r="H12" s="8"/>
      <c r="I12" s="8"/>
      <c r="J12" s="8"/>
      <c r="K12" s="9"/>
      <c r="N12" s="421">
        <f>INT(T7*$W$3)*$X$7</f>
        <v>3099400</v>
      </c>
      <c r="O12" s="1205" t="s">
        <v>637</v>
      </c>
      <c r="P12" s="1254"/>
      <c r="Q12" s="1255"/>
      <c r="R12" s="1297">
        <f>(R11*T7+N12)*G46</f>
        <v>13431400</v>
      </c>
      <c r="S12" s="1298"/>
      <c r="T12" s="1299"/>
      <c r="V12" s="1306">
        <f>INT($R$12-($R$11*8.5*$Q$52+8.5*$W$3*$X$7))+P54*$T$52</f>
        <v>13666367</v>
      </c>
      <c r="W12" s="1307"/>
      <c r="X12" s="1306">
        <f>INT($R$12-($R$11*8.5*$Q$52+8.5*$W$3*$X$7))+R54*$T$52</f>
        <v>14001947</v>
      </c>
      <c r="Y12" s="1307"/>
      <c r="Z12" s="1306">
        <f>INT($R$12-($R$11*8.5*$Q$52+8.5*$W$3*$X$7))+T54*$T$52</f>
        <v>14337507</v>
      </c>
      <c r="AA12" s="1307"/>
    </row>
    <row r="13" spans="2:15" ht="14.25" thickBot="1">
      <c r="B13" s="23"/>
      <c r="C13" s="22"/>
      <c r="D13" s="143"/>
      <c r="E13" s="43" t="s">
        <v>389</v>
      </c>
      <c r="F13" s="8"/>
      <c r="G13" s="8"/>
      <c r="H13" s="8"/>
      <c r="I13" s="8"/>
      <c r="J13" s="8"/>
      <c r="K13" s="9"/>
      <c r="O13" t="s">
        <v>904</v>
      </c>
    </row>
    <row r="14" spans="2:20" ht="14.25" thickBot="1">
      <c r="B14" s="23"/>
      <c r="C14" s="22"/>
      <c r="D14" s="143"/>
      <c r="E14" s="43" t="s">
        <v>59</v>
      </c>
      <c r="F14" s="8"/>
      <c r="G14" s="8">
        <v>5</v>
      </c>
      <c r="H14" s="8">
        <v>14</v>
      </c>
      <c r="I14" s="8"/>
      <c r="J14" s="8"/>
      <c r="K14" s="9"/>
      <c r="O14" s="977" t="s">
        <v>215</v>
      </c>
      <c r="P14" s="978"/>
      <c r="Q14" s="978"/>
      <c r="R14" s="978"/>
      <c r="S14" s="301" t="s">
        <v>51</v>
      </c>
      <c r="T14" s="302">
        <f>(90+2*30)/100</f>
        <v>1.5</v>
      </c>
    </row>
    <row r="15" spans="2:21" ht="13.5">
      <c r="B15" s="23"/>
      <c r="C15" s="22"/>
      <c r="D15" s="143"/>
      <c r="E15" s="43" t="s">
        <v>60</v>
      </c>
      <c r="F15" s="8">
        <v>15</v>
      </c>
      <c r="G15" s="8"/>
      <c r="H15" s="8"/>
      <c r="I15" s="8"/>
      <c r="J15" s="8"/>
      <c r="K15" s="9"/>
      <c r="O15" s="988" t="s">
        <v>107</v>
      </c>
      <c r="P15" s="77" t="s">
        <v>56</v>
      </c>
      <c r="Q15" s="554">
        <f>MIN(INT(($R$4*T14)*(1+$B$33+$E$33+$B$51)),ReadMe!$M$94)</f>
        <v>10278</v>
      </c>
      <c r="R15" s="1292" t="s">
        <v>324</v>
      </c>
      <c r="S15" s="88" t="s">
        <v>56</v>
      </c>
      <c r="T15" s="551">
        <f>MIN(INT(Q15*$E$41),ReadMe!$M$94)</f>
        <v>13875</v>
      </c>
      <c r="U15" s="680"/>
    </row>
    <row r="16" spans="2:20" ht="13.5">
      <c r="B16" s="23"/>
      <c r="C16" s="22"/>
      <c r="D16" s="143"/>
      <c r="E16" s="43" t="s">
        <v>61</v>
      </c>
      <c r="F16" s="8">
        <v>4</v>
      </c>
      <c r="G16" s="8">
        <v>8</v>
      </c>
      <c r="H16" s="8"/>
      <c r="I16" s="8"/>
      <c r="J16" s="8"/>
      <c r="K16" s="9"/>
      <c r="O16" s="1051"/>
      <c r="P16" s="44" t="s">
        <v>57</v>
      </c>
      <c r="Q16" s="555">
        <f>INT((Q15+Q17)/2)</f>
        <v>11185</v>
      </c>
      <c r="R16" s="1293"/>
      <c r="S16" s="80" t="s">
        <v>57</v>
      </c>
      <c r="T16" s="552">
        <f>INT((T15+T17)/2)</f>
        <v>17820</v>
      </c>
    </row>
    <row r="17" spans="2:20" ht="14.25" thickBot="1">
      <c r="B17" s="23"/>
      <c r="C17" s="22"/>
      <c r="D17" s="143"/>
      <c r="E17" s="43" t="s">
        <v>1059</v>
      </c>
      <c r="F17" s="8"/>
      <c r="G17" s="8">
        <v>3</v>
      </c>
      <c r="H17" s="8">
        <v>3</v>
      </c>
      <c r="I17" s="8">
        <v>3</v>
      </c>
      <c r="J17" s="8">
        <v>3</v>
      </c>
      <c r="K17" s="9"/>
      <c r="O17" s="989"/>
      <c r="P17" s="15" t="s">
        <v>58</v>
      </c>
      <c r="Q17" s="556">
        <f>MIN(INT(($T$4*T14)*(1+$B$33+$E$33+$B$51)),ReadMe!$M$94)</f>
        <v>12092</v>
      </c>
      <c r="R17" s="81" t="s">
        <v>112</v>
      </c>
      <c r="S17" s="87" t="s">
        <v>58</v>
      </c>
      <c r="T17" s="553">
        <f>MIN(INT(Q17*$F$41),ReadMe!$M$94)</f>
        <v>21765</v>
      </c>
    </row>
    <row r="18" spans="2:20" ht="14.25" thickBot="1">
      <c r="B18" s="23"/>
      <c r="C18" s="22"/>
      <c r="D18" s="143"/>
      <c r="E18" s="43" t="s">
        <v>1059</v>
      </c>
      <c r="F18" s="8">
        <v>1</v>
      </c>
      <c r="G18" s="8">
        <v>1</v>
      </c>
      <c r="H18" s="8">
        <v>1</v>
      </c>
      <c r="I18" s="8">
        <v>1</v>
      </c>
      <c r="J18" s="8">
        <v>1</v>
      </c>
      <c r="K18" s="9"/>
      <c r="O18" s="1329" t="s">
        <v>127</v>
      </c>
      <c r="P18" s="1330"/>
      <c r="Q18" s="1330"/>
      <c r="R18" s="1327">
        <f>INT(Q16*(1-$G$41)+T16*$G$41)</f>
        <v>15497</v>
      </c>
      <c r="S18" s="1327"/>
      <c r="T18" s="1328"/>
    </row>
    <row r="19" spans="2:20" ht="13.5">
      <c r="B19" s="1339" t="s">
        <v>1</v>
      </c>
      <c r="C19" s="1340"/>
      <c r="D19" s="1343">
        <v>10</v>
      </c>
      <c r="E19" s="43" t="s">
        <v>1059</v>
      </c>
      <c r="F19" s="8">
        <v>1</v>
      </c>
      <c r="G19" s="8">
        <v>1</v>
      </c>
      <c r="H19" s="8">
        <v>1</v>
      </c>
      <c r="I19" s="8">
        <v>1</v>
      </c>
      <c r="J19" s="8">
        <v>1</v>
      </c>
      <c r="K19" s="9"/>
      <c r="O19" s="1023" t="s">
        <v>50</v>
      </c>
      <c r="P19" s="1024"/>
      <c r="Q19" s="523" t="s">
        <v>56</v>
      </c>
      <c r="R19" s="1303">
        <f>Q15*4</f>
        <v>41112</v>
      </c>
      <c r="S19" s="1304"/>
      <c r="T19" s="1305"/>
    </row>
    <row r="20" spans="2:20" ht="13.5">
      <c r="B20" s="1341" t="s">
        <v>2</v>
      </c>
      <c r="C20" s="1342"/>
      <c r="D20" s="1344"/>
      <c r="E20" s="43" t="s">
        <v>1059</v>
      </c>
      <c r="F20" s="8"/>
      <c r="G20" s="8"/>
      <c r="H20" s="8"/>
      <c r="I20" s="8"/>
      <c r="J20" s="8"/>
      <c r="K20" s="9"/>
      <c r="O20" s="1334"/>
      <c r="P20" s="1335"/>
      <c r="Q20" s="524" t="s">
        <v>140</v>
      </c>
      <c r="R20" s="1345">
        <f>R18*4</f>
        <v>61988</v>
      </c>
      <c r="S20" s="1346"/>
      <c r="T20" s="1347"/>
    </row>
    <row r="21" spans="2:20" ht="14.25" thickBot="1">
      <c r="B21" s="1280" t="s">
        <v>912</v>
      </c>
      <c r="C21" s="1281"/>
      <c r="D21" s="29">
        <f>(D19*2)/100</f>
        <v>0.2</v>
      </c>
      <c r="E21" s="43" t="s">
        <v>970</v>
      </c>
      <c r="F21" s="8"/>
      <c r="G21" s="8">
        <v>2</v>
      </c>
      <c r="H21" s="8">
        <v>2</v>
      </c>
      <c r="I21" s="8">
        <v>2</v>
      </c>
      <c r="J21" s="8">
        <v>2</v>
      </c>
      <c r="K21" s="9"/>
      <c r="O21" s="1276"/>
      <c r="P21" s="1336"/>
      <c r="Q21" s="557" t="s">
        <v>58</v>
      </c>
      <c r="R21" s="1324">
        <f>T17*4</f>
        <v>87060</v>
      </c>
      <c r="S21" s="1325"/>
      <c r="T21" s="1326"/>
    </row>
    <row r="22" spans="2:23" ht="14.25" thickBot="1">
      <c r="B22" s="1276" t="s">
        <v>128</v>
      </c>
      <c r="C22" s="1277"/>
      <c r="D22" s="70">
        <v>0</v>
      </c>
      <c r="E22" s="7" t="s">
        <v>972</v>
      </c>
      <c r="F22" s="8"/>
      <c r="G22" s="8">
        <v>3</v>
      </c>
      <c r="H22" s="8">
        <v>3</v>
      </c>
      <c r="I22" s="8">
        <v>3</v>
      </c>
      <c r="J22" s="8">
        <v>3</v>
      </c>
      <c r="K22" s="9"/>
      <c r="O22" s="1322" t="s">
        <v>43</v>
      </c>
      <c r="P22" s="1323"/>
      <c r="Q22" s="153">
        <f>IF(D5-K37&lt;4,4,D5-K37)</f>
        <v>6</v>
      </c>
      <c r="R22" s="1348" t="s">
        <v>66</v>
      </c>
      <c r="S22" s="1349"/>
      <c r="T22" s="73">
        <f>IF(Q22=4,93,IF(Q22=5,87,IF(Q22=6,83,)))</f>
        <v>83</v>
      </c>
      <c r="W22" s="336"/>
    </row>
    <row r="23" spans="2:20" ht="14.25" thickBot="1">
      <c r="B23" s="10" t="s">
        <v>221</v>
      </c>
      <c r="C23" s="585"/>
      <c r="D23" s="20">
        <v>30</v>
      </c>
      <c r="E23" s="7" t="s">
        <v>1210</v>
      </c>
      <c r="F23" s="8"/>
      <c r="G23" s="8"/>
      <c r="H23" s="8"/>
      <c r="I23" s="8"/>
      <c r="J23" s="8"/>
      <c r="K23" s="9"/>
      <c r="N23" s="421">
        <f>INT(T22*$W$3)*$X$7</f>
        <v>511401</v>
      </c>
      <c r="O23" s="1205" t="s">
        <v>637</v>
      </c>
      <c r="P23" s="1254"/>
      <c r="Q23" s="1255"/>
      <c r="R23" s="1310">
        <f>(R20*T22+N23)*G46</f>
        <v>5656405</v>
      </c>
      <c r="S23" s="1311"/>
      <c r="T23" s="1311"/>
    </row>
    <row r="24" spans="2:11" ht="14.25" thickBot="1">
      <c r="B24" s="1278" t="s">
        <v>129</v>
      </c>
      <c r="C24" s="1279"/>
      <c r="D24" s="63">
        <f>D23</f>
        <v>30</v>
      </c>
      <c r="E24" s="7" t="s">
        <v>1060</v>
      </c>
      <c r="F24" s="8"/>
      <c r="G24" s="8"/>
      <c r="H24" s="8"/>
      <c r="I24" s="8"/>
      <c r="J24" s="8"/>
      <c r="K24" s="9"/>
    </row>
    <row r="25" spans="2:25" ht="14.25" thickBot="1">
      <c r="B25" s="1071" t="s">
        <v>113</v>
      </c>
      <c r="C25" s="1072"/>
      <c r="D25" s="82">
        <f>IF(D23=0,Q58,(Q58-0.5)+(55+ROUNDUP($D$23/2,0))/100)</f>
        <v>0.85</v>
      </c>
      <c r="E25" s="7" t="s">
        <v>823</v>
      </c>
      <c r="F25" s="8">
        <v>20</v>
      </c>
      <c r="G25" s="8"/>
      <c r="H25" s="8"/>
      <c r="I25" s="8"/>
      <c r="J25" s="8"/>
      <c r="K25" s="9"/>
      <c r="O25" s="977" t="s">
        <v>905</v>
      </c>
      <c r="P25" s="978"/>
      <c r="Q25" s="978"/>
      <c r="R25" s="978"/>
      <c r="S25" s="978"/>
      <c r="T25" s="979"/>
      <c r="V25" s="308"/>
      <c r="W25" s="308"/>
      <c r="X25" s="308"/>
      <c r="Y25" s="342"/>
    </row>
    <row r="26" spans="2:20" ht="14.25" thickBot="1">
      <c r="B26" s="1245" t="s">
        <v>222</v>
      </c>
      <c r="C26" s="1246"/>
      <c r="D26" s="2">
        <v>9</v>
      </c>
      <c r="E26" s="235" t="s">
        <v>975</v>
      </c>
      <c r="F26" s="8">
        <v>28</v>
      </c>
      <c r="G26" s="41">
        <f>ROUNDDOWN(G3*D27%,0)</f>
        <v>3</v>
      </c>
      <c r="H26" s="41">
        <f>ROUNDDOWN(H3*D27%,0)</f>
        <v>35</v>
      </c>
      <c r="I26" s="41">
        <f>ROUNDDOWN(I3*D27%,0)</f>
        <v>0</v>
      </c>
      <c r="J26" s="41">
        <f>ROUNDDOWN(J3*D27%,0)</f>
        <v>0</v>
      </c>
      <c r="K26" s="9">
        <v>23</v>
      </c>
      <c r="O26" s="684" t="s">
        <v>51</v>
      </c>
      <c r="P26" s="683">
        <f>(350+5*$D$8)/100</f>
        <v>4.5</v>
      </c>
      <c r="Q26" s="685" t="s">
        <v>907</v>
      </c>
      <c r="R26" s="167">
        <f>(30+D8)/100</f>
        <v>0.5</v>
      </c>
      <c r="S26" s="169" t="s">
        <v>908</v>
      </c>
      <c r="T26" s="686">
        <f>2+ROUNDUP(D8/5,0)</f>
        <v>6</v>
      </c>
    </row>
    <row r="27" spans="2:20" ht="14.25" thickBot="1">
      <c r="B27" s="14" t="s">
        <v>62</v>
      </c>
      <c r="C27" s="571"/>
      <c r="D27" s="47">
        <f>ROUNDUP(D26/2,0)</f>
        <v>5</v>
      </c>
      <c r="E27" s="7" t="s">
        <v>63</v>
      </c>
      <c r="F27" s="44">
        <f>D24+D28</f>
        <v>30</v>
      </c>
      <c r="G27" s="44">
        <f>SUM(G4:G25)</f>
        <v>50</v>
      </c>
      <c r="H27" s="44">
        <f>SUM(H4:H25)</f>
        <v>97</v>
      </c>
      <c r="I27" s="44">
        <f>SUM(I4:I25)</f>
        <v>27</v>
      </c>
      <c r="J27" s="44">
        <f>SUM(J4:J25)</f>
        <v>27</v>
      </c>
      <c r="K27" s="45">
        <f>SUM(K3:K26)+D28</f>
        <v>51</v>
      </c>
      <c r="O27" s="1" t="s">
        <v>326</v>
      </c>
      <c r="P27" s="3"/>
      <c r="Q27" s="727">
        <f>MIN(INT($P$4*(30+D8)/100),ReadMe!$M$94)</f>
        <v>5038</v>
      </c>
      <c r="R27" s="37" t="s">
        <v>910</v>
      </c>
      <c r="S27" s="3"/>
      <c r="T27" s="727">
        <f>Q27*T26</f>
        <v>30228</v>
      </c>
    </row>
    <row r="28" spans="2:20" ht="14.25" thickBot="1">
      <c r="B28" s="17" t="s">
        <v>1024</v>
      </c>
      <c r="C28" s="210"/>
      <c r="D28" s="332">
        <v>0</v>
      </c>
      <c r="E28" s="14" t="s">
        <v>55</v>
      </c>
      <c r="F28" s="49">
        <f>D22+SUM(F4:F27)</f>
        <v>224</v>
      </c>
      <c r="G28" s="579">
        <f>INT((G3+G26+G27)*(1+G31))</f>
        <v>125</v>
      </c>
      <c r="H28" s="579">
        <f>INT((H3+H26+H27)*(1+H31))</f>
        <v>906</v>
      </c>
      <c r="I28" s="579">
        <f>INT((I3+I26+I27)*(1+I31))</f>
        <v>31</v>
      </c>
      <c r="J28" s="579">
        <f>INT((J3+J26+J27)*(1+J31))</f>
        <v>31</v>
      </c>
      <c r="K28" s="580">
        <f>($J$28+$H$28*1.2+K27)*(1+K31)</f>
        <v>1169.2</v>
      </c>
      <c r="O28" s="14" t="s">
        <v>911</v>
      </c>
      <c r="P28" s="15"/>
      <c r="Q28" s="728">
        <f>MIN(INT(Q27*1.5),ReadMe!$M$94)</f>
        <v>7557</v>
      </c>
      <c r="R28" s="54" t="s">
        <v>910</v>
      </c>
      <c r="S28" s="15"/>
      <c r="T28" s="728">
        <f>Q28*T26</f>
        <v>45342</v>
      </c>
    </row>
    <row r="29" spans="2:21" ht="14.25" thickBot="1">
      <c r="B29" s="1068" t="s">
        <v>645</v>
      </c>
      <c r="C29" s="1036"/>
      <c r="D29" s="1036"/>
      <c r="E29" s="1036"/>
      <c r="F29" s="1036"/>
      <c r="G29" s="1036"/>
      <c r="H29" s="1036"/>
      <c r="I29" s="1036"/>
      <c r="J29" s="1036"/>
      <c r="K29" s="1037"/>
      <c r="O29" s="1308" t="s">
        <v>107</v>
      </c>
      <c r="P29" s="91" t="s">
        <v>56</v>
      </c>
      <c r="Q29" s="681">
        <f>MIN(INT(($R$4*P26)*(1+$B$33+$E$33+$B$51)),ReadMe!$M$94)</f>
        <v>30836</v>
      </c>
      <c r="R29" s="1293" t="s">
        <v>324</v>
      </c>
      <c r="S29" s="79" t="s">
        <v>56</v>
      </c>
      <c r="T29" s="682">
        <f>MIN(INT(Q29*$E$41),ReadMe!$M$94)</f>
        <v>41628</v>
      </c>
      <c r="U29" s="58"/>
    </row>
    <row r="30" spans="2:20" ht="13.5">
      <c r="B30" s="1085" t="s">
        <v>443</v>
      </c>
      <c r="C30" s="1086"/>
      <c r="D30" s="1087"/>
      <c r="E30" s="1038" t="s">
        <v>646</v>
      </c>
      <c r="F30" s="1039"/>
      <c r="G30" s="1" t="s">
        <v>650</v>
      </c>
      <c r="H30" s="3" t="s">
        <v>649</v>
      </c>
      <c r="I30" s="3" t="s">
        <v>648</v>
      </c>
      <c r="J30" s="3" t="s">
        <v>647</v>
      </c>
      <c r="K30" s="4" t="s">
        <v>651</v>
      </c>
      <c r="O30" s="1051"/>
      <c r="P30" s="44" t="s">
        <v>57</v>
      </c>
      <c r="Q30" s="555">
        <f>INT((Q29+Q31)/2)</f>
        <v>33557</v>
      </c>
      <c r="R30" s="1293"/>
      <c r="S30" s="80" t="s">
        <v>57</v>
      </c>
      <c r="T30" s="552">
        <f>INT((T29+T31)/2)</f>
        <v>53464</v>
      </c>
    </row>
    <row r="31" spans="2:20" ht="14.25" thickBot="1">
      <c r="B31" s="1091">
        <v>0</v>
      </c>
      <c r="C31" s="1132"/>
      <c r="D31" s="1093"/>
      <c r="E31" s="1040">
        <v>0</v>
      </c>
      <c r="F31" s="1032"/>
      <c r="G31" s="575">
        <v>0</v>
      </c>
      <c r="H31" s="576">
        <v>0.09</v>
      </c>
      <c r="I31" s="576">
        <v>0</v>
      </c>
      <c r="J31" s="576">
        <v>0</v>
      </c>
      <c r="K31" s="577">
        <v>0</v>
      </c>
      <c r="O31" s="989"/>
      <c r="P31" s="15" t="s">
        <v>58</v>
      </c>
      <c r="Q31" s="556">
        <f>MIN(INT(($T$4*P26)*(1+$B$33+$E$33+$B$51)),ReadMe!$M$94)</f>
        <v>36278</v>
      </c>
      <c r="R31" s="81" t="s">
        <v>112</v>
      </c>
      <c r="S31" s="87" t="s">
        <v>58</v>
      </c>
      <c r="T31" s="553">
        <f>MIN(INT(Q31*$F$41),ReadMe!$M$94)</f>
        <v>65300</v>
      </c>
    </row>
    <row r="32" spans="2:20" ht="14.25" thickBot="1">
      <c r="B32" s="1088" t="s">
        <v>644</v>
      </c>
      <c r="C32" s="1089"/>
      <c r="D32" s="1090"/>
      <c r="E32" s="984" t="s">
        <v>551</v>
      </c>
      <c r="F32" s="976"/>
      <c r="O32" s="1309" t="s">
        <v>127</v>
      </c>
      <c r="P32" s="1274"/>
      <c r="Q32" s="1274"/>
      <c r="R32" s="1300">
        <f>INT(Q30*(1-$G$41)+T30*$G$41)</f>
        <v>46496</v>
      </c>
      <c r="S32" s="1295"/>
      <c r="T32" s="1296"/>
    </row>
    <row r="33" spans="2:20" ht="14.25" thickBot="1">
      <c r="B33" s="1091">
        <v>0</v>
      </c>
      <c r="C33" s="1092"/>
      <c r="D33" s="1093"/>
      <c r="E33" s="1040">
        <v>0</v>
      </c>
      <c r="F33" s="1032"/>
      <c r="O33" s="1308" t="s">
        <v>630</v>
      </c>
      <c r="P33" s="91" t="s">
        <v>56</v>
      </c>
      <c r="Q33" s="681">
        <f>MIN(INT(Q29*1.5),ReadMe!$M$94)</f>
        <v>46254</v>
      </c>
      <c r="R33" s="1293" t="s">
        <v>324</v>
      </c>
      <c r="S33" s="79" t="s">
        <v>56</v>
      </c>
      <c r="T33" s="682">
        <f>MIN(INT(Q33*$E$41),ReadMe!$M$94)</f>
        <v>62442</v>
      </c>
    </row>
    <row r="34" spans="15:20" ht="14.25" thickBot="1">
      <c r="O34" s="1051"/>
      <c r="P34" s="44" t="s">
        <v>57</v>
      </c>
      <c r="Q34" s="555">
        <f>MIN(INT(Q30*1.5),ReadMe!$M$94)</f>
        <v>50335</v>
      </c>
      <c r="R34" s="1293"/>
      <c r="S34" s="80" t="s">
        <v>57</v>
      </c>
      <c r="T34" s="552">
        <f>MIN(INT((T33+T35)/2),ReadMe!$M$94)</f>
        <v>80196</v>
      </c>
    </row>
    <row r="35" spans="2:20" ht="13.5" customHeight="1" thickBot="1">
      <c r="B35" s="1047" t="s">
        <v>1120</v>
      </c>
      <c r="C35" s="1048"/>
      <c r="D35" s="1048"/>
      <c r="E35" s="535" t="s">
        <v>56</v>
      </c>
      <c r="F35" s="19" t="s">
        <v>58</v>
      </c>
      <c r="G35" s="536" t="s">
        <v>750</v>
      </c>
      <c r="I35" s="1041" t="s">
        <v>218</v>
      </c>
      <c r="J35" s="1042"/>
      <c r="K35" s="1043"/>
      <c r="O35" s="989"/>
      <c r="P35" s="15" t="s">
        <v>58</v>
      </c>
      <c r="Q35" s="556">
        <f>MIN(INT(Q31*1.5),ReadMe!$M$94)</f>
        <v>54417</v>
      </c>
      <c r="R35" s="81" t="s">
        <v>112</v>
      </c>
      <c r="S35" s="87" t="s">
        <v>58</v>
      </c>
      <c r="T35" s="553">
        <f>MIN(INT(Q35*$F$41),ReadMe!$M$94)</f>
        <v>97950</v>
      </c>
    </row>
    <row r="36" spans="2:20" ht="14.25" thickBot="1">
      <c r="B36" s="1133" t="s">
        <v>1122</v>
      </c>
      <c r="C36" s="1134"/>
      <c r="D36" s="1135"/>
      <c r="E36" s="36">
        <f>(120+ROUNDUP(D23/2,0))/100</f>
        <v>1.35</v>
      </c>
      <c r="F36" s="539">
        <v>1.5</v>
      </c>
      <c r="G36" s="260">
        <f>(T58*2+5)/100</f>
        <v>0.45</v>
      </c>
      <c r="I36" s="1041" t="s">
        <v>220</v>
      </c>
      <c r="J36" s="1053"/>
      <c r="K36" s="1054"/>
      <c r="O36" s="1301" t="s">
        <v>127</v>
      </c>
      <c r="P36" s="1302"/>
      <c r="Q36" s="1302"/>
      <c r="R36" s="1300">
        <f>INT(Q34*(1-$G$41)+T34*$G$41)</f>
        <v>69744</v>
      </c>
      <c r="S36" s="1295"/>
      <c r="T36" s="1296"/>
    </row>
    <row r="37" spans="2:11" ht="14.25" thickBot="1">
      <c r="B37" s="1051" t="s">
        <v>1117</v>
      </c>
      <c r="C37" s="1052"/>
      <c r="D37" s="548">
        <v>30</v>
      </c>
      <c r="E37" s="538"/>
      <c r="F37" s="537">
        <f>D37/100</f>
        <v>0.3</v>
      </c>
      <c r="G37" s="543">
        <f>IF(D37=0,0,(5+ROUNDUP(D37/2,0))/100)</f>
        <v>0.2</v>
      </c>
      <c r="I37" s="871" t="s">
        <v>217</v>
      </c>
      <c r="J37" s="224"/>
      <c r="K37" s="247">
        <v>0</v>
      </c>
    </row>
    <row r="38" spans="2:20" ht="14.25" thickBot="1">
      <c r="B38" s="1051" t="s">
        <v>1118</v>
      </c>
      <c r="C38" s="1052"/>
      <c r="D38" s="548">
        <v>0</v>
      </c>
      <c r="E38" s="538">
        <f>D38/100</f>
        <v>0</v>
      </c>
      <c r="F38" s="537"/>
      <c r="G38" s="543">
        <f>IF(D38=0,0,(5+ROUNDUP(D38/2,0))/100)</f>
        <v>0</v>
      </c>
      <c r="O38" s="977" t="s">
        <v>660</v>
      </c>
      <c r="P38" s="978"/>
      <c r="Q38" s="978"/>
      <c r="R38" s="979"/>
      <c r="S38" s="301" t="s">
        <v>51</v>
      </c>
      <c r="T38" s="302">
        <v>4</v>
      </c>
    </row>
    <row r="39" spans="1:20" ht="14.25" thickBot="1">
      <c r="A39" s="421" t="b">
        <v>0</v>
      </c>
      <c r="B39" s="1051" t="s">
        <v>1119</v>
      </c>
      <c r="C39" s="1052"/>
      <c r="D39" s="544"/>
      <c r="E39" s="538"/>
      <c r="F39" s="537">
        <f>IF(H39="true",0.15,0)</f>
        <v>0</v>
      </c>
      <c r="G39" s="543">
        <f>IF(H39="true",0.1,0)</f>
        <v>0</v>
      </c>
      <c r="H39" s="421" t="str">
        <f>IF(A39=TRUE,"TRUE",IF(D39=1,"TRUE","FLASE"))</f>
        <v>FLASE</v>
      </c>
      <c r="I39" s="1058" t="s">
        <v>1163</v>
      </c>
      <c r="J39" s="1059"/>
      <c r="K39" s="896"/>
      <c r="L39" s="421" t="b">
        <v>0</v>
      </c>
      <c r="M39" s="514" t="str">
        <f>IF(L39=TRUE,"TRUE",IF(K39=1,"TRUE","FLASE"))</f>
        <v>FLASE</v>
      </c>
      <c r="O39" s="988" t="s">
        <v>107</v>
      </c>
      <c r="P39" s="77" t="s">
        <v>56</v>
      </c>
      <c r="Q39" s="554">
        <f>INT(($R$4*T38)*(1+$B$33+$E$33+$B$51))</f>
        <v>27410</v>
      </c>
      <c r="R39" s="1292" t="s">
        <v>324</v>
      </c>
      <c r="S39" s="79" t="s">
        <v>56</v>
      </c>
      <c r="T39" s="551">
        <f>INT(Q39*$E$41)</f>
        <v>37003</v>
      </c>
    </row>
    <row r="40" spans="2:20" ht="14.25" thickBot="1">
      <c r="B40" s="1055" t="s">
        <v>1121</v>
      </c>
      <c r="C40" s="1056"/>
      <c r="D40" s="1057"/>
      <c r="E40" s="545">
        <v>0</v>
      </c>
      <c r="F40" s="546">
        <v>0</v>
      </c>
      <c r="G40" s="547">
        <v>0</v>
      </c>
      <c r="I40" s="637" t="s">
        <v>787</v>
      </c>
      <c r="J40" s="893"/>
      <c r="K40" s="894">
        <v>0</v>
      </c>
      <c r="O40" s="1051"/>
      <c r="P40" s="44" t="s">
        <v>57</v>
      </c>
      <c r="Q40" s="555">
        <f>INT((Q39+Q41)/2)</f>
        <v>29828</v>
      </c>
      <c r="R40" s="1293"/>
      <c r="S40" s="80" t="s">
        <v>57</v>
      </c>
      <c r="T40" s="552">
        <f>INT((T39+T41)/2)</f>
        <v>47523</v>
      </c>
    </row>
    <row r="41" spans="2:20" ht="14.25" thickBot="1">
      <c r="B41" s="1044" t="s">
        <v>1123</v>
      </c>
      <c r="C41" s="1045"/>
      <c r="D41" s="1046"/>
      <c r="E41" s="540">
        <f>E36+MAX(E38,E39)+E40</f>
        <v>1.35</v>
      </c>
      <c r="F41" s="541">
        <f>F36+MAX(F37,F39)+F40</f>
        <v>1.8</v>
      </c>
      <c r="G41" s="542">
        <f>G36+MAX(G37,G38,G39)+G40</f>
        <v>0.65</v>
      </c>
      <c r="I41" s="1060" t="s">
        <v>530</v>
      </c>
      <c r="J41" s="1061"/>
      <c r="K41" s="895">
        <f>IF(M39="true",IF(K40&gt;0,10+ROUNDUP(K40/3,0),11)/100,0)</f>
        <v>0</v>
      </c>
      <c r="L41" s="342"/>
      <c r="M41" s="342"/>
      <c r="O41" s="989"/>
      <c r="P41" s="15" t="s">
        <v>58</v>
      </c>
      <c r="Q41" s="556">
        <f>INT(($T$4*T38)*(1+$B$33+$E$33+$B$51))</f>
        <v>32247</v>
      </c>
      <c r="R41" s="81" t="s">
        <v>112</v>
      </c>
      <c r="S41" s="87" t="s">
        <v>58</v>
      </c>
      <c r="T41" s="553">
        <f>INT(Q41*$F$41)</f>
        <v>58044</v>
      </c>
    </row>
    <row r="42" spans="2:20" ht="14.25" thickBot="1">
      <c r="B42" s="1136" t="s">
        <v>135</v>
      </c>
      <c r="C42" s="1137"/>
      <c r="D42" s="1138"/>
      <c r="E42" s="1011">
        <f>(($E$41+$F$41)/2-1)*$G$41+1</f>
        <v>1.3737500000000002</v>
      </c>
      <c r="F42" s="1012"/>
      <c r="G42" s="1005"/>
      <c r="O42" s="1301" t="s">
        <v>127</v>
      </c>
      <c r="P42" s="1302"/>
      <c r="Q42" s="1302"/>
      <c r="R42" s="1300">
        <f>INT(Q40*(1-$G$41)+T40*$G$41)</f>
        <v>41329</v>
      </c>
      <c r="S42" s="1295"/>
      <c r="T42" s="1296"/>
    </row>
    <row r="43" spans="9:11" ht="14.25" thickBot="1">
      <c r="I43" s="1075" t="s">
        <v>1188</v>
      </c>
      <c r="J43" s="1076"/>
      <c r="K43" s="1077"/>
    </row>
    <row r="44" spans="2:20" ht="14.25" thickBot="1">
      <c r="B44" s="1049" t="s">
        <v>416</v>
      </c>
      <c r="C44" s="1050"/>
      <c r="D44" s="566">
        <v>125</v>
      </c>
      <c r="E44" s="1147" t="s">
        <v>417</v>
      </c>
      <c r="F44" s="1148"/>
      <c r="G44" s="26">
        <f>IF(D2&gt;D44,0,$D$44-$D$2)</f>
        <v>0</v>
      </c>
      <c r="I44" s="439" t="s">
        <v>1189</v>
      </c>
      <c r="J44" s="572"/>
      <c r="K44" s="223">
        <v>0</v>
      </c>
      <c r="L44" s="342"/>
      <c r="M44" s="342"/>
      <c r="O44" s="977" t="s">
        <v>17</v>
      </c>
      <c r="P44" s="978"/>
      <c r="Q44" s="978"/>
      <c r="R44" s="979"/>
      <c r="S44" s="301" t="s">
        <v>51</v>
      </c>
      <c r="T44" s="302">
        <v>3.1</v>
      </c>
    </row>
    <row r="45" spans="2:20" ht="14.25" thickBot="1">
      <c r="B45" s="1006" t="s">
        <v>450</v>
      </c>
      <c r="C45" s="1007"/>
      <c r="D45" s="9">
        <v>12</v>
      </c>
      <c r="E45" s="1006" t="s">
        <v>452</v>
      </c>
      <c r="F45" s="1007"/>
      <c r="G45" s="665">
        <f>IF(G44&gt;0,"-",D45)</f>
        <v>12</v>
      </c>
      <c r="I45" s="440" t="s">
        <v>1190</v>
      </c>
      <c r="J45" s="573"/>
      <c r="K45" s="441">
        <f>IF(K44&gt;0,(K44+10)/100,0)</f>
        <v>0</v>
      </c>
      <c r="O45" s="988" t="s">
        <v>107</v>
      </c>
      <c r="P45" s="77" t="s">
        <v>56</v>
      </c>
      <c r="Q45" s="554">
        <f>INT(($R$4*T44)*(1+$B$33+$E$33+$B$51))</f>
        <v>21242</v>
      </c>
      <c r="R45" s="1292" t="s">
        <v>324</v>
      </c>
      <c r="S45" s="79" t="s">
        <v>56</v>
      </c>
      <c r="T45" s="551">
        <f>INT(Q45*$E$41)</f>
        <v>28676</v>
      </c>
    </row>
    <row r="46" spans="2:20" ht="14.25" thickBot="1">
      <c r="B46" s="997" t="s">
        <v>415</v>
      </c>
      <c r="C46" s="998"/>
      <c r="D46" s="9">
        <v>0</v>
      </c>
      <c r="E46" s="1006" t="s">
        <v>451</v>
      </c>
      <c r="F46" s="1007"/>
      <c r="G46" s="543">
        <f>MAX((MIN(100+SQRT($K$28)-SQRT($D$45),100)-5*G44)/100,0)</f>
        <v>1</v>
      </c>
      <c r="O46" s="1051"/>
      <c r="P46" s="44" t="s">
        <v>57</v>
      </c>
      <c r="Q46" s="555">
        <f>INT((Q45+Q47)/2)</f>
        <v>23116</v>
      </c>
      <c r="R46" s="1293"/>
      <c r="S46" s="80" t="s">
        <v>57</v>
      </c>
      <c r="T46" s="552">
        <f>INT((T45+T47)/2)</f>
        <v>36829</v>
      </c>
    </row>
    <row r="47" spans="2:20" ht="14.25" thickBot="1">
      <c r="B47" s="1008" t="s">
        <v>642</v>
      </c>
      <c r="C47" s="1009"/>
      <c r="D47" s="567">
        <v>0.25</v>
      </c>
      <c r="E47" s="1145" t="s">
        <v>643</v>
      </c>
      <c r="F47" s="1146"/>
      <c r="G47" s="29">
        <f>1-(D47*(1-(D21+K45)))</f>
        <v>0.8</v>
      </c>
      <c r="I47" s="1003" t="s">
        <v>1110</v>
      </c>
      <c r="J47" s="1004"/>
      <c r="K47" s="996"/>
      <c r="L47" s="342"/>
      <c r="M47" s="168"/>
      <c r="O47" s="989"/>
      <c r="P47" s="15" t="s">
        <v>58</v>
      </c>
      <c r="Q47" s="556">
        <f>INT(($T$4*T44)*(1+$B$33+$E$33+$B$51))</f>
        <v>24991</v>
      </c>
      <c r="R47" s="81" t="s">
        <v>112</v>
      </c>
      <c r="S47" s="87" t="s">
        <v>58</v>
      </c>
      <c r="T47" s="553">
        <f>INT(Q47*$F$41)</f>
        <v>44983</v>
      </c>
    </row>
    <row r="48" spans="4:20" ht="14.25" thickBot="1">
      <c r="D48" s="421">
        <f>$D$46*(1-($K$45+$B$31+$D$21))</f>
        <v>0</v>
      </c>
      <c r="I48" s="1083" t="s">
        <v>652</v>
      </c>
      <c r="J48" s="1084"/>
      <c r="K48" s="493"/>
      <c r="L48" s="514" t="b">
        <v>0</v>
      </c>
      <c r="M48" s="514" t="str">
        <f>IF(L48=TRUE,"TRUE",IF(K48=1,"TRUE","FLASE"))</f>
        <v>FLASE</v>
      </c>
      <c r="O48" s="1301" t="s">
        <v>127</v>
      </c>
      <c r="P48" s="1302"/>
      <c r="Q48" s="1302"/>
      <c r="R48" s="1300">
        <f>INT(Q46*(1-$G$41)+T46*$G$41)</f>
        <v>32029</v>
      </c>
      <c r="S48" s="1295"/>
      <c r="T48" s="1296"/>
    </row>
    <row r="49" spans="2:13" ht="14.25" thickBot="1">
      <c r="B49" s="1078" t="s">
        <v>749</v>
      </c>
      <c r="C49" s="1079"/>
      <c r="D49" s="1080"/>
      <c r="I49" s="994" t="s">
        <v>653</v>
      </c>
      <c r="J49" s="995"/>
      <c r="K49" s="494"/>
      <c r="L49" s="514" t="b">
        <v>0</v>
      </c>
      <c r="M49" s="514" t="str">
        <f>IF(L49=TRUE,"TRUE",IF(K49=1,"TRUE","FLASE"))</f>
        <v>FLASE</v>
      </c>
    </row>
    <row r="50" spans="2:20" ht="14.25" thickBot="1">
      <c r="B50" s="999" t="s">
        <v>551</v>
      </c>
      <c r="C50" s="1000"/>
      <c r="D50" s="1001"/>
      <c r="I50" s="1002" t="s">
        <v>530</v>
      </c>
      <c r="J50" s="993"/>
      <c r="K50" s="225">
        <f>IF(M48="TRUE",1.04,IF(M49="TRUE",1.02,1))</f>
        <v>1</v>
      </c>
      <c r="L50" s="352"/>
      <c r="M50" s="352"/>
      <c r="O50" s="977" t="s">
        <v>755</v>
      </c>
      <c r="P50" s="978"/>
      <c r="Q50" s="978"/>
      <c r="R50" s="978"/>
      <c r="S50" s="978"/>
      <c r="T50" s="979"/>
    </row>
    <row r="51" spans="2:20" ht="14.25" thickBot="1">
      <c r="B51" s="1142">
        <v>0</v>
      </c>
      <c r="C51" s="1143"/>
      <c r="D51" s="1144"/>
      <c r="L51" s="352"/>
      <c r="M51" s="352"/>
      <c r="O51" s="310" t="s">
        <v>293</v>
      </c>
      <c r="P51" s="290">
        <f>D7</f>
        <v>30</v>
      </c>
      <c r="Q51" s="259" t="s">
        <v>104</v>
      </c>
      <c r="R51" s="428">
        <f>INT(210+5*P51)/100</f>
        <v>3.6</v>
      </c>
      <c r="S51" s="14" t="s">
        <v>545</v>
      </c>
      <c r="T51" s="16">
        <f>100+4*P51</f>
        <v>220</v>
      </c>
    </row>
    <row r="52" spans="15:20" ht="14.25" thickBot="1">
      <c r="O52" s="1205" t="s">
        <v>710</v>
      </c>
      <c r="P52" s="1315"/>
      <c r="Q52" s="329">
        <f>60/T51</f>
        <v>0.2727272727272727</v>
      </c>
      <c r="R52" s="1318" t="s">
        <v>732</v>
      </c>
      <c r="S52" s="1319"/>
      <c r="T52" s="84">
        <v>20</v>
      </c>
    </row>
    <row r="53" spans="2:20" ht="14.25" thickBot="1">
      <c r="B53" s="1023" t="s">
        <v>64</v>
      </c>
      <c r="C53" s="1024"/>
      <c r="D53" s="1024"/>
      <c r="E53" s="1024"/>
      <c r="F53" s="1024"/>
      <c r="G53" s="1024"/>
      <c r="H53" s="1024"/>
      <c r="I53" s="1024"/>
      <c r="J53" s="1024"/>
      <c r="K53" s="1024"/>
      <c r="L53" s="1025"/>
      <c r="O53" s="311" t="s">
        <v>707</v>
      </c>
      <c r="P53" s="4">
        <f>MIN(INT(R53*0.5),ReadMe!$M$94)</f>
        <v>15418</v>
      </c>
      <c r="Q53" s="311" t="s">
        <v>704</v>
      </c>
      <c r="R53" s="4">
        <f>MIN(INT(($N$4*R51)*(1+$B$33+$E$33+$B$51)),ReadMe!$M$94)</f>
        <v>30836</v>
      </c>
      <c r="S53" s="311" t="s">
        <v>679</v>
      </c>
      <c r="T53" s="4">
        <f>MIN(INT(R53*1.5),ReadMe!$M$94)</f>
        <v>46254</v>
      </c>
    </row>
    <row r="54" spans="2:20" ht="13.5">
      <c r="B54" s="1018" t="s">
        <v>132</v>
      </c>
      <c r="C54" s="1019"/>
      <c r="D54" s="1020"/>
      <c r="E54" s="1020"/>
      <c r="F54" s="1020"/>
      <c r="G54" s="1020"/>
      <c r="H54" s="1020"/>
      <c r="I54" s="1020"/>
      <c r="J54" s="1020"/>
      <c r="K54" s="1020"/>
      <c r="L54" s="1016"/>
      <c r="O54" s="7" t="s">
        <v>708</v>
      </c>
      <c r="P54" s="45">
        <f>MIN(INT(R54*0.5),ReadMe!$M$94)</f>
        <v>16778</v>
      </c>
      <c r="Q54" s="7" t="s">
        <v>705</v>
      </c>
      <c r="R54" s="45">
        <f>INT((R53+R55)/2)</f>
        <v>33557</v>
      </c>
      <c r="S54" s="7" t="s">
        <v>680</v>
      </c>
      <c r="T54" s="45">
        <f>MIN(INT(R54*1.5),ReadMe!$M$94)</f>
        <v>50335</v>
      </c>
    </row>
    <row r="55" spans="2:20" ht="14.25" thickBot="1">
      <c r="B55" s="1017" t="s">
        <v>353</v>
      </c>
      <c r="C55" s="1015"/>
      <c r="D55" s="1013"/>
      <c r="E55" s="1013"/>
      <c r="F55" s="1013"/>
      <c r="G55" s="1013"/>
      <c r="H55" s="1013"/>
      <c r="I55" s="1013"/>
      <c r="J55" s="1013"/>
      <c r="K55" s="1013"/>
      <c r="L55" s="1010"/>
      <c r="O55" s="14" t="s">
        <v>709</v>
      </c>
      <c r="P55" s="148">
        <f>MIN(INT(R55*0.5),ReadMe!$M$94)</f>
        <v>18139</v>
      </c>
      <c r="Q55" s="14" t="s">
        <v>706</v>
      </c>
      <c r="R55" s="148">
        <f>MIN(INT(($P$4*R51)*(1+$B$33+$E$33+$B$51)),ReadMe!$M$94)</f>
        <v>36278</v>
      </c>
      <c r="S55" s="14" t="s">
        <v>681</v>
      </c>
      <c r="T55" s="148">
        <f>MIN(INT(R55*1.5),ReadMe!$M$94)</f>
        <v>54417</v>
      </c>
    </row>
    <row r="56" spans="2:12" ht="14.25" thickBot="1">
      <c r="B56" s="1017" t="s">
        <v>354</v>
      </c>
      <c r="C56" s="1015"/>
      <c r="D56" s="1013"/>
      <c r="E56" s="1013"/>
      <c r="F56" s="1013"/>
      <c r="G56" s="1013"/>
      <c r="H56" s="1013"/>
      <c r="I56" s="1013"/>
      <c r="J56" s="1013"/>
      <c r="K56" s="1013"/>
      <c r="L56" s="1010"/>
    </row>
    <row r="57" spans="2:20" ht="14.25" thickBot="1">
      <c r="B57" s="1256" t="s">
        <v>338</v>
      </c>
      <c r="C57" s="1257"/>
      <c r="D57" s="1257"/>
      <c r="E57" s="1257"/>
      <c r="F57" s="1257"/>
      <c r="G57" s="1257"/>
      <c r="H57" s="1257"/>
      <c r="I57" s="1257"/>
      <c r="J57" s="1257"/>
      <c r="K57" s="1257"/>
      <c r="L57" s="1258"/>
      <c r="O57" s="1316" t="s">
        <v>1050</v>
      </c>
      <c r="P57" s="1213"/>
      <c r="Q57" s="1213"/>
      <c r="R57" s="1213"/>
      <c r="S57" s="1213"/>
      <c r="T57" s="1317"/>
    </row>
    <row r="58" spans="2:20" ht="14.25" thickBot="1">
      <c r="B58" s="1017" t="s">
        <v>812</v>
      </c>
      <c r="C58" s="1015"/>
      <c r="D58" s="1013"/>
      <c r="E58" s="1013"/>
      <c r="F58" s="1013"/>
      <c r="G58" s="1013"/>
      <c r="H58" s="1013"/>
      <c r="I58" s="1013"/>
      <c r="J58" s="1013"/>
      <c r="K58" s="1013"/>
      <c r="L58" s="1010"/>
      <c r="O58" s="1023" t="s">
        <v>113</v>
      </c>
      <c r="P58" s="1114"/>
      <c r="Q58" s="487">
        <v>0.65</v>
      </c>
      <c r="R58" s="1068" t="s">
        <v>958</v>
      </c>
      <c r="S58" s="1036"/>
      <c r="T58" s="332">
        <v>20</v>
      </c>
    </row>
    <row r="59" spans="2:20" ht="14.25" thickBot="1">
      <c r="B59" s="1312" t="s">
        <v>355</v>
      </c>
      <c r="C59" s="1313"/>
      <c r="D59" s="1313"/>
      <c r="E59" s="1313"/>
      <c r="F59" s="1313"/>
      <c r="G59" s="1313"/>
      <c r="H59" s="1313"/>
      <c r="I59" s="1313"/>
      <c r="J59" s="1313"/>
      <c r="K59" s="1313"/>
      <c r="L59" s="1314"/>
      <c r="O59" s="1205" t="s">
        <v>1051</v>
      </c>
      <c r="P59" s="1206"/>
      <c r="Q59" s="487">
        <v>1</v>
      </c>
      <c r="R59" s="1320" t="s">
        <v>997</v>
      </c>
      <c r="S59" s="1321"/>
      <c r="T59" s="375">
        <v>1</v>
      </c>
    </row>
    <row r="60" spans="15:20" ht="13.5">
      <c r="O60" s="988" t="s">
        <v>107</v>
      </c>
      <c r="P60" s="77" t="s">
        <v>56</v>
      </c>
      <c r="Q60" s="554">
        <f>INT(($R$4*Q59)*(1+$B$33+$E$33+$B$51))</f>
        <v>6852</v>
      </c>
      <c r="R60" s="1292" t="s">
        <v>324</v>
      </c>
      <c r="S60" s="79" t="s">
        <v>56</v>
      </c>
      <c r="T60" s="551">
        <f>INT(Q60*$E$41)</f>
        <v>9250</v>
      </c>
    </row>
    <row r="61" spans="15:20" ht="13.5">
      <c r="O61" s="1051"/>
      <c r="P61" s="44" t="s">
        <v>57</v>
      </c>
      <c r="Q61" s="555">
        <f>INT((Q60+Q62)/2)</f>
        <v>7456</v>
      </c>
      <c r="R61" s="1293"/>
      <c r="S61" s="80" t="s">
        <v>57</v>
      </c>
      <c r="T61" s="552">
        <f>INT((T60+T62)/2)</f>
        <v>11879</v>
      </c>
    </row>
    <row r="62" spans="15:20" ht="14.25" thickBot="1">
      <c r="O62" s="989"/>
      <c r="P62" s="15" t="s">
        <v>58</v>
      </c>
      <c r="Q62" s="556">
        <f>INT(($T$4*Q59)*(1+$B$33+$E$33+$B$51))</f>
        <v>8061</v>
      </c>
      <c r="R62" s="81" t="s">
        <v>112</v>
      </c>
      <c r="S62" s="87" t="s">
        <v>58</v>
      </c>
      <c r="T62" s="553">
        <f>INT(Q62*$F$41)</f>
        <v>14509</v>
      </c>
    </row>
    <row r="63" spans="15:20" ht="14.25" thickBot="1">
      <c r="O63" s="1065" t="s">
        <v>127</v>
      </c>
      <c r="P63" s="1066"/>
      <c r="Q63" s="1067"/>
      <c r="R63" s="1300">
        <f>INT(Q61*(1-$G$41)+T61*$G$41)</f>
        <v>10330</v>
      </c>
      <c r="S63" s="1295"/>
      <c r="T63" s="1296"/>
    </row>
    <row r="64" spans="15:20" ht="14.25" thickBot="1">
      <c r="O64" s="1065" t="s">
        <v>407</v>
      </c>
      <c r="P64" s="1066"/>
      <c r="Q64" s="1067"/>
      <c r="R64" s="1294">
        <f>R63*T59</f>
        <v>10330</v>
      </c>
      <c r="S64" s="1295"/>
      <c r="T64" s="1296"/>
    </row>
  </sheetData>
  <sheetProtection/>
  <protectedRanges>
    <protectedRange sqref="D44:D45 D47" name="範囲1"/>
  </protectedRanges>
  <mergeCells count="121">
    <mergeCell ref="I39:J39"/>
    <mergeCell ref="I41:J41"/>
    <mergeCell ref="O23:Q23"/>
    <mergeCell ref="O12:Q12"/>
    <mergeCell ref="O14:R14"/>
    <mergeCell ref="R22:S22"/>
    <mergeCell ref="O39:O41"/>
    <mergeCell ref="R39:R40"/>
    <mergeCell ref="O33:O35"/>
    <mergeCell ref="R33:R34"/>
    <mergeCell ref="R11:T11"/>
    <mergeCell ref="B19:C19"/>
    <mergeCell ref="B20:C20"/>
    <mergeCell ref="D19:D20"/>
    <mergeCell ref="R20:T20"/>
    <mergeCell ref="F1:P1"/>
    <mergeCell ref="N2:P2"/>
    <mergeCell ref="R2:T2"/>
    <mergeCell ref="R21:T21"/>
    <mergeCell ref="R15:R16"/>
    <mergeCell ref="R18:T18"/>
    <mergeCell ref="O15:O17"/>
    <mergeCell ref="O18:Q18"/>
    <mergeCell ref="R8:R10"/>
    <mergeCell ref="O19:P21"/>
    <mergeCell ref="O60:O62"/>
    <mergeCell ref="R58:S58"/>
    <mergeCell ref="B4:D4"/>
    <mergeCell ref="E47:F47"/>
    <mergeCell ref="B49:D49"/>
    <mergeCell ref="B50:D50"/>
    <mergeCell ref="B51:D51"/>
    <mergeCell ref="O22:P22"/>
    <mergeCell ref="O45:O47"/>
    <mergeCell ref="O58:P58"/>
    <mergeCell ref="R63:T63"/>
    <mergeCell ref="O64:Q64"/>
    <mergeCell ref="B44:C44"/>
    <mergeCell ref="E44:F44"/>
    <mergeCell ref="B45:C45"/>
    <mergeCell ref="E45:F45"/>
    <mergeCell ref="B46:C46"/>
    <mergeCell ref="E46:F46"/>
    <mergeCell ref="B47:C47"/>
    <mergeCell ref="R59:S59"/>
    <mergeCell ref="R45:R46"/>
    <mergeCell ref="O57:T57"/>
    <mergeCell ref="R52:S52"/>
    <mergeCell ref="O44:R44"/>
    <mergeCell ref="O59:P59"/>
    <mergeCell ref="B53:L53"/>
    <mergeCell ref="B54:L54"/>
    <mergeCell ref="O50:T50"/>
    <mergeCell ref="B55:L55"/>
    <mergeCell ref="B56:L56"/>
    <mergeCell ref="B59:L59"/>
    <mergeCell ref="B57:L57"/>
    <mergeCell ref="B58:L58"/>
    <mergeCell ref="O52:P52"/>
    <mergeCell ref="B41:D41"/>
    <mergeCell ref="B42:D42"/>
    <mergeCell ref="E42:G42"/>
    <mergeCell ref="I50:J50"/>
    <mergeCell ref="I47:K47"/>
    <mergeCell ref="I48:J48"/>
    <mergeCell ref="I49:J49"/>
    <mergeCell ref="Z12:AA12"/>
    <mergeCell ref="O29:O31"/>
    <mergeCell ref="R29:R30"/>
    <mergeCell ref="O32:Q32"/>
    <mergeCell ref="R32:T32"/>
    <mergeCell ref="R23:T23"/>
    <mergeCell ref="V12:W12"/>
    <mergeCell ref="X12:Y12"/>
    <mergeCell ref="O38:R38"/>
    <mergeCell ref="R12:T12"/>
    <mergeCell ref="R48:T48"/>
    <mergeCell ref="O48:Q48"/>
    <mergeCell ref="R19:T19"/>
    <mergeCell ref="O25:T25"/>
    <mergeCell ref="O36:Q36"/>
    <mergeCell ref="R36:T36"/>
    <mergeCell ref="O42:Q42"/>
    <mergeCell ref="R42:T42"/>
    <mergeCell ref="R60:R61"/>
    <mergeCell ref="R64:T64"/>
    <mergeCell ref="O63:Q63"/>
    <mergeCell ref="B35:D35"/>
    <mergeCell ref="B36:D36"/>
    <mergeCell ref="B37:C37"/>
    <mergeCell ref="B38:C38"/>
    <mergeCell ref="I43:K43"/>
    <mergeCell ref="B39:C39"/>
    <mergeCell ref="B40:D40"/>
    <mergeCell ref="O6:T6"/>
    <mergeCell ref="O11:Q11"/>
    <mergeCell ref="V2:Y2"/>
    <mergeCell ref="V7:W7"/>
    <mergeCell ref="X7:Y7"/>
    <mergeCell ref="V10:AA10"/>
    <mergeCell ref="V11:W11"/>
    <mergeCell ref="X11:Y11"/>
    <mergeCell ref="Z11:AA11"/>
    <mergeCell ref="O8:O10"/>
    <mergeCell ref="B33:D33"/>
    <mergeCell ref="E33:F33"/>
    <mergeCell ref="I35:K35"/>
    <mergeCell ref="I36:K36"/>
    <mergeCell ref="B31:D31"/>
    <mergeCell ref="E31:F31"/>
    <mergeCell ref="B32:D32"/>
    <mergeCell ref="E32:F32"/>
    <mergeCell ref="B26:C26"/>
    <mergeCell ref="B29:K29"/>
    <mergeCell ref="B30:D30"/>
    <mergeCell ref="E30:F30"/>
    <mergeCell ref="B2:C2"/>
    <mergeCell ref="B22:C22"/>
    <mergeCell ref="B24:C24"/>
    <mergeCell ref="B25:C25"/>
    <mergeCell ref="B21:C21"/>
  </mergeCells>
  <printOptions/>
  <pageMargins left="0.75" right="0.75" top="1" bottom="1" header="0.512" footer="0.512"/>
  <pageSetup horizontalDpi="300" verticalDpi="300" orientation="portrait" paperSize="9" r:id="rId2"/>
  <ignoredErrors>
    <ignoredError sqref="G27:J27" formulaRange="1"/>
  </ignoredErrors>
  <legacyDrawing r:id="rId1"/>
</worksheet>
</file>

<file path=xl/worksheets/sheet5.xml><?xml version="1.0" encoding="utf-8"?>
<worksheet xmlns="http://schemas.openxmlformats.org/spreadsheetml/2006/main" xmlns:r="http://schemas.openxmlformats.org/officeDocument/2006/relationships">
  <dimension ref="A1:Z64"/>
  <sheetViews>
    <sheetView workbookViewId="0" topLeftCell="A1">
      <selection activeCell="A1" sqref="A1"/>
    </sheetView>
  </sheetViews>
  <sheetFormatPr defaultColWidth="9.00390625" defaultRowHeight="13.5"/>
  <cols>
    <col min="1" max="1" width="2.625" style="0" customWidth="1"/>
    <col min="2" max="11" width="5.625" style="0" customWidth="1"/>
    <col min="12" max="13" width="2.625" style="0" customWidth="1"/>
  </cols>
  <sheetData>
    <row r="1" spans="6:16" ht="24.75" thickBot="1">
      <c r="F1" s="990" t="s">
        <v>226</v>
      </c>
      <c r="G1" s="990"/>
      <c r="H1" s="990"/>
      <c r="I1" s="990"/>
      <c r="J1" s="990"/>
      <c r="K1" s="990"/>
      <c r="L1" s="990"/>
      <c r="M1" s="990"/>
      <c r="N1" s="990"/>
      <c r="O1" s="990"/>
      <c r="P1" s="990"/>
    </row>
    <row r="2" spans="2:25" ht="14.25" thickBot="1">
      <c r="B2" s="1078" t="s">
        <v>227</v>
      </c>
      <c r="C2" s="1094"/>
      <c r="D2" s="142">
        <v>150</v>
      </c>
      <c r="E2" s="38"/>
      <c r="F2" s="3" t="s">
        <v>129</v>
      </c>
      <c r="G2" s="3" t="s">
        <v>228</v>
      </c>
      <c r="H2" s="3" t="s">
        <v>229</v>
      </c>
      <c r="I2" s="3" t="s">
        <v>1115</v>
      </c>
      <c r="J2" s="3" t="s">
        <v>1116</v>
      </c>
      <c r="K2" s="26" t="s">
        <v>430</v>
      </c>
      <c r="N2" s="991" t="s">
        <v>104</v>
      </c>
      <c r="O2" s="992"/>
      <c r="P2" s="987"/>
      <c r="R2" s="991" t="s">
        <v>418</v>
      </c>
      <c r="S2" s="992"/>
      <c r="T2" s="987"/>
      <c r="V2" s="977" t="s">
        <v>775</v>
      </c>
      <c r="W2" s="978"/>
      <c r="X2" s="978"/>
      <c r="Y2" s="979"/>
    </row>
    <row r="3" spans="2:25" ht="14.25" thickBot="1">
      <c r="B3" s="14" t="s">
        <v>40</v>
      </c>
      <c r="C3" s="571"/>
      <c r="D3" s="16">
        <f>((D2-1)*5+IF(D2&gt;=120,35,IF(D2&gt;=70,30,25)))-(G3+H3+I3+J3)</f>
        <v>0</v>
      </c>
      <c r="E3" s="43" t="s">
        <v>41</v>
      </c>
      <c r="F3" s="8"/>
      <c r="G3" s="8">
        <v>67</v>
      </c>
      <c r="H3" s="8">
        <v>705</v>
      </c>
      <c r="I3" s="8">
        <v>4</v>
      </c>
      <c r="J3" s="8">
        <v>4</v>
      </c>
      <c r="K3" s="9"/>
      <c r="N3" s="10" t="s">
        <v>69</v>
      </c>
      <c r="O3" s="11" t="s">
        <v>70</v>
      </c>
      <c r="P3" s="12" t="s">
        <v>71</v>
      </c>
      <c r="R3" s="71" t="s">
        <v>69</v>
      </c>
      <c r="S3" s="72" t="s">
        <v>70</v>
      </c>
      <c r="T3" s="73" t="s">
        <v>71</v>
      </c>
      <c r="V3" s="52" t="s">
        <v>134</v>
      </c>
      <c r="W3" s="558">
        <f>(2*20)/100</f>
        <v>0.4</v>
      </c>
      <c r="X3" s="53" t="s">
        <v>51</v>
      </c>
      <c r="Y3" s="75">
        <f>(100+5*(20/2))/100</f>
        <v>1.5</v>
      </c>
    </row>
    <row r="4" spans="2:25" ht="14.25" thickBot="1">
      <c r="B4" s="1334" t="s">
        <v>136</v>
      </c>
      <c r="C4" s="1335"/>
      <c r="D4" s="1335"/>
      <c r="E4" s="7" t="s">
        <v>42</v>
      </c>
      <c r="F4" s="8">
        <v>126</v>
      </c>
      <c r="G4" s="8"/>
      <c r="H4" s="8">
        <v>7</v>
      </c>
      <c r="I4" s="8"/>
      <c r="J4" s="8"/>
      <c r="K4" s="9"/>
      <c r="N4" s="14">
        <f>P4*D25</f>
        <v>8604.3222</v>
      </c>
      <c r="O4" s="15">
        <f>(P4+N4)/2</f>
        <v>9363.5271</v>
      </c>
      <c r="P4" s="16">
        <f>$Q$4*($F$28+INT(($F$28-$F$25)*$E$31)+INT($F$28*($K$41+$K$50-1)))/100</f>
        <v>10122.732</v>
      </c>
      <c r="Q4" s="421">
        <f>1.35*(4*$H$28+$G$28)</f>
        <v>5086.8</v>
      </c>
      <c r="R4" s="14">
        <f>N4*$G$47*(1-$G$44/100)</f>
        <v>6883.457760000001</v>
      </c>
      <c r="S4" s="15">
        <f>O4*$G$47*(1-$G$44/100)</f>
        <v>7490.82168</v>
      </c>
      <c r="T4" s="16">
        <f>P4*$G$47*(1-$G$44/100)</f>
        <v>8098.185600000001</v>
      </c>
      <c r="V4" s="549" t="s">
        <v>704</v>
      </c>
      <c r="W4" s="560">
        <f>MIN(INT(($R$4*Y3)*(1+$B$33+$E$33+$B$51)),ReadMe!$M$94)</f>
        <v>10325</v>
      </c>
      <c r="X4" s="265" t="s">
        <v>639</v>
      </c>
      <c r="Y4" s="160">
        <f>MIN(INT(W4*E41),ReadMe!$M$94)</f>
        <v>13938</v>
      </c>
    </row>
    <row r="5" spans="2:25" ht="14.25" thickBot="1">
      <c r="B5" s="169" t="s">
        <v>43</v>
      </c>
      <c r="C5" s="416"/>
      <c r="D5" s="243">
        <v>6</v>
      </c>
      <c r="E5" s="7" t="s">
        <v>44</v>
      </c>
      <c r="F5" s="8"/>
      <c r="G5" s="8"/>
      <c r="H5" s="8"/>
      <c r="I5" s="8"/>
      <c r="J5" s="8"/>
      <c r="K5" s="9"/>
      <c r="V5" s="291" t="s">
        <v>705</v>
      </c>
      <c r="W5" s="561">
        <f>INT((W4+W6)/2)</f>
        <v>11236</v>
      </c>
      <c r="X5" s="266" t="s">
        <v>640</v>
      </c>
      <c r="Y5" s="161">
        <f>INT((Y4+Y6)/2)</f>
        <v>17901</v>
      </c>
    </row>
    <row r="6" spans="2:25" ht="14.25" thickBot="1">
      <c r="B6" s="1339" t="s">
        <v>1126</v>
      </c>
      <c r="C6" s="1340"/>
      <c r="D6" s="1350">
        <v>10</v>
      </c>
      <c r="E6" s="43" t="s">
        <v>45</v>
      </c>
      <c r="F6" s="8"/>
      <c r="G6" s="8">
        <v>10</v>
      </c>
      <c r="H6" s="8">
        <v>20</v>
      </c>
      <c r="I6" s="8">
        <v>10</v>
      </c>
      <c r="J6" s="8">
        <v>10</v>
      </c>
      <c r="K6" s="9">
        <v>10</v>
      </c>
      <c r="N6" s="1352" t="str">
        <f>IF(D6&gt;0,"アルティメットストレイフ","ストレイフ")</f>
        <v>アルティメットストレイフ</v>
      </c>
      <c r="O6" s="1353"/>
      <c r="P6" s="1353"/>
      <c r="Q6" s="1354"/>
      <c r="R6" s="301" t="s">
        <v>51</v>
      </c>
      <c r="S6" s="302">
        <f>IF(D6=0,150,170+D6*3)/100</f>
        <v>2</v>
      </c>
      <c r="T6" s="68"/>
      <c r="V6" s="293" t="s">
        <v>638</v>
      </c>
      <c r="W6" s="562">
        <f>MIN(INT(($T$4*Y3)*(1+$B$33+$E$33+$B$51)),ReadMe!$M$94)</f>
        <v>12147</v>
      </c>
      <c r="X6" s="267" t="s">
        <v>641</v>
      </c>
      <c r="Y6" s="162">
        <f>MIN(INT(W6*F41),ReadMe!$M$94)</f>
        <v>21864</v>
      </c>
    </row>
    <row r="7" spans="2:25" ht="14.25" thickBot="1">
      <c r="B7" s="1341" t="s">
        <v>1127</v>
      </c>
      <c r="C7" s="1342"/>
      <c r="D7" s="1351"/>
      <c r="E7" s="43" t="s">
        <v>46</v>
      </c>
      <c r="F7" s="8"/>
      <c r="G7" s="8"/>
      <c r="H7" s="8">
        <v>7</v>
      </c>
      <c r="I7" s="8"/>
      <c r="J7" s="8"/>
      <c r="K7" s="9"/>
      <c r="N7" s="988" t="s">
        <v>107</v>
      </c>
      <c r="O7" s="77" t="s">
        <v>56</v>
      </c>
      <c r="P7" s="554">
        <f>MIN(INT(($R$4*S6)*(1+$B$33+$E$33+$B$51)),ReadMe!$M$94)</f>
        <v>13766</v>
      </c>
      <c r="Q7" s="1292" t="s">
        <v>324</v>
      </c>
      <c r="R7" s="88" t="s">
        <v>56</v>
      </c>
      <c r="S7" s="551">
        <f>MIN(INT(P7*$E$41),ReadMe!$M$94)</f>
        <v>18584</v>
      </c>
      <c r="T7" s="58"/>
      <c r="V7" s="1285" t="s">
        <v>225</v>
      </c>
      <c r="W7" s="1286"/>
      <c r="X7" s="1287">
        <f>INT(W5*(1-G41)+Y5*G41)</f>
        <v>15568</v>
      </c>
      <c r="Y7" s="1288"/>
    </row>
    <row r="8" spans="2:19" ht="13.5" customHeight="1">
      <c r="B8" s="7" t="s">
        <v>235</v>
      </c>
      <c r="C8" s="44"/>
      <c r="D8" s="9">
        <v>30</v>
      </c>
      <c r="E8" s="43" t="s">
        <v>47</v>
      </c>
      <c r="F8" s="8">
        <v>2</v>
      </c>
      <c r="G8" s="8"/>
      <c r="H8" s="8">
        <v>2</v>
      </c>
      <c r="I8" s="8"/>
      <c r="J8" s="8"/>
      <c r="K8" s="9">
        <v>7</v>
      </c>
      <c r="N8" s="1051"/>
      <c r="O8" s="44" t="s">
        <v>57</v>
      </c>
      <c r="P8" s="555">
        <f>INT((P7+P9)/2)</f>
        <v>14981</v>
      </c>
      <c r="Q8" s="1293"/>
      <c r="R8" s="80" t="s">
        <v>57</v>
      </c>
      <c r="S8" s="552">
        <f>INT((S7+S9)/2)</f>
        <v>23868</v>
      </c>
    </row>
    <row r="9" spans="2:20" ht="14.25" thickBot="1">
      <c r="B9" s="667" t="s">
        <v>444</v>
      </c>
      <c r="C9" s="666"/>
      <c r="D9" s="9">
        <v>30</v>
      </c>
      <c r="E9" s="43" t="s">
        <v>48</v>
      </c>
      <c r="F9" s="8"/>
      <c r="G9" s="8">
        <v>7</v>
      </c>
      <c r="H9" s="8">
        <v>7</v>
      </c>
      <c r="I9" s="8">
        <v>7</v>
      </c>
      <c r="J9" s="8">
        <v>7</v>
      </c>
      <c r="K9" s="9"/>
      <c r="N9" s="989"/>
      <c r="O9" s="15" t="s">
        <v>58</v>
      </c>
      <c r="P9" s="556">
        <f>MIN(INT(($T$4*S6)*(1+$B$33+$E$33+$B$51)),ReadMe!$M$94)</f>
        <v>16196</v>
      </c>
      <c r="Q9" s="81" t="s">
        <v>112</v>
      </c>
      <c r="R9" s="87" t="s">
        <v>58</v>
      </c>
      <c r="S9" s="553">
        <f>MIN(INT(P9*$F$41),ReadMe!$M$94)</f>
        <v>29152</v>
      </c>
      <c r="T9" s="58"/>
    </row>
    <row r="10" spans="2:20" ht="14.25" thickBot="1">
      <c r="B10" s="14" t="s">
        <v>767</v>
      </c>
      <c r="C10" s="15"/>
      <c r="D10" s="247">
        <v>1</v>
      </c>
      <c r="E10" s="43" t="s">
        <v>49</v>
      </c>
      <c r="F10" s="8"/>
      <c r="G10" s="8"/>
      <c r="H10" s="8">
        <v>10</v>
      </c>
      <c r="I10" s="8"/>
      <c r="J10" s="8"/>
      <c r="K10" s="9"/>
      <c r="N10" s="1301" t="s">
        <v>127</v>
      </c>
      <c r="O10" s="1302"/>
      <c r="P10" s="1302"/>
      <c r="Q10" s="1327">
        <f>INT(P8*(1-$G$41)+S8*$G$41)</f>
        <v>20757</v>
      </c>
      <c r="R10" s="1327"/>
      <c r="S10" s="1328"/>
      <c r="T10" s="58"/>
    </row>
    <row r="11" spans="2:20" ht="13.5">
      <c r="B11" s="23"/>
      <c r="C11" s="22"/>
      <c r="D11" s="143"/>
      <c r="E11" s="43" t="s">
        <v>390</v>
      </c>
      <c r="F11" s="8"/>
      <c r="G11" s="8">
        <v>10</v>
      </c>
      <c r="H11" s="8">
        <v>20</v>
      </c>
      <c r="I11" s="8"/>
      <c r="J11" s="8"/>
      <c r="K11" s="9">
        <v>11</v>
      </c>
      <c r="N11" s="1382" t="str">
        <f>IF(D6&gt;0,"6発合計","4発合計")</f>
        <v>6発合計</v>
      </c>
      <c r="O11" s="1383"/>
      <c r="P11" s="415" t="s">
        <v>56</v>
      </c>
      <c r="Q11" s="988">
        <f>P7*IF($D$6&gt;0,6,4)</f>
        <v>82596</v>
      </c>
      <c r="R11" s="1373"/>
      <c r="S11" s="1374"/>
      <c r="T11" s="58"/>
    </row>
    <row r="12" spans="2:19" ht="14.25" thickBot="1">
      <c r="B12" s="23"/>
      <c r="C12" s="22"/>
      <c r="D12" s="143"/>
      <c r="E12" s="43" t="s">
        <v>339</v>
      </c>
      <c r="F12" s="8"/>
      <c r="G12" s="8"/>
      <c r="H12" s="8"/>
      <c r="I12" s="8"/>
      <c r="J12" s="8"/>
      <c r="K12" s="9"/>
      <c r="N12" s="1384"/>
      <c r="O12" s="1385"/>
      <c r="P12" s="522" t="s">
        <v>140</v>
      </c>
      <c r="Q12" s="1375">
        <f>$Q$10*IF($D$6&gt;0,6,4)</f>
        <v>124542</v>
      </c>
      <c r="R12" s="1376"/>
      <c r="S12" s="1377"/>
    </row>
    <row r="13" spans="2:26" ht="14.25" thickBot="1">
      <c r="B13" s="642"/>
      <c r="C13" s="22"/>
      <c r="D13" s="143"/>
      <c r="E13" s="43" t="s">
        <v>389</v>
      </c>
      <c r="F13" s="8"/>
      <c r="G13" s="8"/>
      <c r="H13" s="8"/>
      <c r="I13" s="8"/>
      <c r="J13" s="8"/>
      <c r="K13" s="9"/>
      <c r="N13" s="1386"/>
      <c r="O13" s="1387"/>
      <c r="P13" s="6" t="s">
        <v>58</v>
      </c>
      <c r="Q13" s="989">
        <f>S9*IF($D$6&gt;0,6,4)</f>
        <v>174912</v>
      </c>
      <c r="R13" s="1378"/>
      <c r="S13" s="1379"/>
      <c r="U13" s="977" t="s">
        <v>973</v>
      </c>
      <c r="V13" s="978"/>
      <c r="W13" s="978"/>
      <c r="X13" s="978"/>
      <c r="Y13" s="978"/>
      <c r="Z13" s="979"/>
    </row>
    <row r="14" spans="2:26" ht="14.25" thickBot="1">
      <c r="B14" s="23"/>
      <c r="C14" s="22"/>
      <c r="D14" s="143"/>
      <c r="E14" s="43" t="s">
        <v>59</v>
      </c>
      <c r="F14" s="8"/>
      <c r="G14" s="8">
        <v>5</v>
      </c>
      <c r="H14" s="8">
        <v>14</v>
      </c>
      <c r="I14" s="8"/>
      <c r="J14" s="8"/>
      <c r="K14" s="9"/>
      <c r="N14" s="1388" t="s">
        <v>43</v>
      </c>
      <c r="O14" s="1389"/>
      <c r="P14" s="66">
        <f>MAX(D5-K37,4)</f>
        <v>6</v>
      </c>
      <c r="Q14" s="1380" t="s">
        <v>66</v>
      </c>
      <c r="R14" s="1381"/>
      <c r="S14" s="74">
        <f>IF(P14=4,93,IF(P14=5,87,IF(P14=6,83,)))</f>
        <v>83</v>
      </c>
      <c r="U14" s="1289" t="s">
        <v>744</v>
      </c>
      <c r="V14" s="1290"/>
      <c r="W14" s="1289" t="s">
        <v>745</v>
      </c>
      <c r="X14" s="1291"/>
      <c r="Y14" s="1290" t="s">
        <v>746</v>
      </c>
      <c r="Z14" s="1291"/>
    </row>
    <row r="15" spans="2:26" ht="14.25" thickBot="1">
      <c r="B15" s="23"/>
      <c r="C15" s="22"/>
      <c r="D15" s="143"/>
      <c r="E15" s="43" t="s">
        <v>60</v>
      </c>
      <c r="F15" s="8">
        <v>15</v>
      </c>
      <c r="G15" s="8"/>
      <c r="H15" s="8"/>
      <c r="I15" s="8"/>
      <c r="J15" s="8"/>
      <c r="K15" s="9"/>
      <c r="N15" s="1205" t="s">
        <v>914</v>
      </c>
      <c r="O15" s="1254"/>
      <c r="P15" s="1255"/>
      <c r="Q15" s="1311">
        <f>(Q12*S14+X7*S14*W3)*$G$46</f>
        <v>10853843.6</v>
      </c>
      <c r="R15" s="1311"/>
      <c r="S15" s="1358"/>
      <c r="U15" s="1306">
        <f>INT($Q$15-$Q$12*$P$42)+$O$44*$S$42</f>
        <v>10960935</v>
      </c>
      <c r="V15" s="1307"/>
      <c r="W15" s="1306">
        <f>INT($Q$15-$Q$12*$P$42)+$Q$44*$S$42</f>
        <v>11134155</v>
      </c>
      <c r="X15" s="1307"/>
      <c r="Y15" s="1306">
        <f>INT($Q$15-$Q$12*$P$42)+$S$44*$S$42</f>
        <v>11307375</v>
      </c>
      <c r="Z15" s="1307"/>
    </row>
    <row r="16" spans="2:19" ht="14.25" thickBot="1">
      <c r="B16" s="23"/>
      <c r="C16" s="22"/>
      <c r="D16" s="143"/>
      <c r="E16" s="43" t="s">
        <v>61</v>
      </c>
      <c r="F16" s="8">
        <v>4</v>
      </c>
      <c r="G16" s="8">
        <v>8</v>
      </c>
      <c r="H16" s="8"/>
      <c r="I16" s="8"/>
      <c r="J16" s="8"/>
      <c r="K16" s="9"/>
      <c r="N16" s="1270" t="s">
        <v>445</v>
      </c>
      <c r="O16" s="1196"/>
      <c r="P16" s="1196"/>
      <c r="Q16" s="1196"/>
      <c r="R16" s="1196"/>
      <c r="S16" s="1271"/>
    </row>
    <row r="17" spans="2:20" ht="14.25" thickBot="1">
      <c r="B17" s="23"/>
      <c r="C17" s="22"/>
      <c r="D17" s="143"/>
      <c r="E17" s="43" t="s">
        <v>1059</v>
      </c>
      <c r="F17" s="8"/>
      <c r="G17" s="8">
        <v>3</v>
      </c>
      <c r="H17" s="8">
        <v>3</v>
      </c>
      <c r="I17" s="8">
        <v>3</v>
      </c>
      <c r="J17" s="8">
        <v>3</v>
      </c>
      <c r="K17" s="9"/>
      <c r="N17" s="1068" t="s">
        <v>913</v>
      </c>
      <c r="O17" s="1036"/>
      <c r="P17" s="207">
        <v>1000000</v>
      </c>
      <c r="Q17" s="1390" t="s">
        <v>446</v>
      </c>
      <c r="R17" s="1390"/>
      <c r="S17" s="211">
        <f>MAX(20-5*ROUNDDOWN(D9/10,0),7.5)</f>
        <v>7.5</v>
      </c>
      <c r="T17" t="s">
        <v>728</v>
      </c>
    </row>
    <row r="18" spans="2:26" ht="14.25" thickBot="1">
      <c r="B18" s="48"/>
      <c r="C18" s="520"/>
      <c r="D18" s="239"/>
      <c r="E18" s="43" t="s">
        <v>1059</v>
      </c>
      <c r="F18" s="8">
        <v>1</v>
      </c>
      <c r="G18" s="8">
        <v>1</v>
      </c>
      <c r="H18" s="8">
        <v>1</v>
      </c>
      <c r="I18" s="8">
        <v>1</v>
      </c>
      <c r="J18" s="8">
        <v>1</v>
      </c>
      <c r="K18" s="9"/>
      <c r="N18" s="208" t="s">
        <v>447</v>
      </c>
      <c r="O18" s="209">
        <f>60/S17</f>
        <v>8</v>
      </c>
      <c r="P18" s="210" t="s">
        <v>448</v>
      </c>
      <c r="Q18" s="212" t="s">
        <v>67</v>
      </c>
      <c r="R18" s="201"/>
      <c r="S18" s="213">
        <f>P17*60/S17</f>
        <v>8000000</v>
      </c>
      <c r="U18" s="977" t="s">
        <v>974</v>
      </c>
      <c r="V18" s="978"/>
      <c r="W18" s="978"/>
      <c r="X18" s="978"/>
      <c r="Y18" s="978"/>
      <c r="Z18" s="979"/>
    </row>
    <row r="19" spans="2:26" ht="14.25" thickBot="1">
      <c r="B19" s="1339" t="s">
        <v>1</v>
      </c>
      <c r="C19" s="1340"/>
      <c r="D19" s="1343">
        <v>10</v>
      </c>
      <c r="E19" s="43" t="s">
        <v>1059</v>
      </c>
      <c r="F19" s="8">
        <v>1</v>
      </c>
      <c r="G19" s="8">
        <v>1</v>
      </c>
      <c r="H19" s="8">
        <v>1</v>
      </c>
      <c r="I19" s="8">
        <v>1</v>
      </c>
      <c r="J19" s="8">
        <v>1</v>
      </c>
      <c r="K19" s="9"/>
      <c r="N19" s="1339" t="s">
        <v>449</v>
      </c>
      <c r="O19" s="1340"/>
      <c r="P19" s="1368"/>
      <c r="Q19" s="479"/>
      <c r="R19" s="479"/>
      <c r="S19" s="480"/>
      <c r="U19" s="1289" t="s">
        <v>744</v>
      </c>
      <c r="V19" s="1290"/>
      <c r="W19" s="1289" t="s">
        <v>745</v>
      </c>
      <c r="X19" s="1291"/>
      <c r="Y19" s="1290" t="s">
        <v>746</v>
      </c>
      <c r="Z19" s="1291"/>
    </row>
    <row r="20" spans="2:26" ht="14.25" thickBot="1">
      <c r="B20" s="1341" t="s">
        <v>2</v>
      </c>
      <c r="C20" s="1342"/>
      <c r="D20" s="1344"/>
      <c r="E20" s="43" t="s">
        <v>1059</v>
      </c>
      <c r="F20" s="8"/>
      <c r="G20" s="8"/>
      <c r="H20" s="8"/>
      <c r="I20" s="8"/>
      <c r="J20" s="8"/>
      <c r="K20" s="9"/>
      <c r="N20" s="1276" t="s">
        <v>916</v>
      </c>
      <c r="O20" s="1336"/>
      <c r="P20" s="1359"/>
      <c r="Q20" s="1310">
        <f>((Q15-Q12*O18)+S18+X7*S14*W3)*G46</f>
        <v>18374365.200000003</v>
      </c>
      <c r="R20" s="1311"/>
      <c r="S20" s="1358"/>
      <c r="U20" s="1306">
        <f>INT($Q$20-$Q$12*$P$42)+$O$44*$S$42</f>
        <v>18481456</v>
      </c>
      <c r="V20" s="1307"/>
      <c r="W20" s="1306">
        <f>INT($Q$20-$Q$12*$P$42)+$Q$44*$S$42</f>
        <v>18654676</v>
      </c>
      <c r="X20" s="1307"/>
      <c r="Y20" s="1306">
        <f>INT($Q$20-$Q$12*$P$42)+$S$44*$S$42</f>
        <v>18827896</v>
      </c>
      <c r="Z20" s="1307"/>
    </row>
    <row r="21" spans="2:11" ht="14.25" thickBot="1">
      <c r="B21" s="1280" t="s">
        <v>1190</v>
      </c>
      <c r="C21" s="1281"/>
      <c r="D21" s="29">
        <f>(D19*2)/100</f>
        <v>0.2</v>
      </c>
      <c r="E21" s="43" t="s">
        <v>970</v>
      </c>
      <c r="F21" s="8"/>
      <c r="G21" s="8">
        <v>2</v>
      </c>
      <c r="H21" s="8">
        <v>2</v>
      </c>
      <c r="I21" s="8">
        <v>2</v>
      </c>
      <c r="J21" s="8">
        <v>2</v>
      </c>
      <c r="K21" s="9"/>
    </row>
    <row r="22" spans="2:21" ht="14.25" thickBot="1">
      <c r="B22" s="1205" t="s">
        <v>128</v>
      </c>
      <c r="C22" s="1206"/>
      <c r="D22" s="70">
        <v>0</v>
      </c>
      <c r="E22" s="7" t="s">
        <v>972</v>
      </c>
      <c r="F22" s="8"/>
      <c r="G22" s="8">
        <v>3</v>
      </c>
      <c r="H22" s="8">
        <v>3</v>
      </c>
      <c r="I22" s="8">
        <v>3</v>
      </c>
      <c r="J22" s="8">
        <v>3</v>
      </c>
      <c r="K22" s="9"/>
      <c r="N22" s="977" t="s">
        <v>236</v>
      </c>
      <c r="O22" s="978"/>
      <c r="P22" s="978"/>
      <c r="Q22" s="978"/>
      <c r="R22" s="978"/>
      <c r="S22" s="979"/>
      <c r="T22" s="99"/>
      <c r="U22" s="99"/>
    </row>
    <row r="23" spans="2:21" ht="14.25" thickBot="1">
      <c r="B23" s="10" t="s">
        <v>221</v>
      </c>
      <c r="C23" s="585"/>
      <c r="D23" s="20">
        <v>30</v>
      </c>
      <c r="E23" s="7" t="s">
        <v>1210</v>
      </c>
      <c r="F23" s="8"/>
      <c r="G23" s="8"/>
      <c r="H23" s="8"/>
      <c r="I23" s="8"/>
      <c r="J23" s="8"/>
      <c r="K23" s="9"/>
      <c r="N23" s="282" t="s">
        <v>223</v>
      </c>
      <c r="O23" s="66">
        <f>D8</f>
        <v>30</v>
      </c>
      <c r="P23" s="169" t="s">
        <v>51</v>
      </c>
      <c r="Q23" s="283">
        <f>(D8*15+700)/100</f>
        <v>11.5</v>
      </c>
      <c r="R23" s="169" t="s">
        <v>137</v>
      </c>
      <c r="S23" s="182">
        <f>IF(O23&gt;=21,6,IF(O23&gt;=11,5,IF(O23&gt;=1,4,0)))</f>
        <v>6</v>
      </c>
      <c r="T23" s="58"/>
      <c r="U23" s="58"/>
    </row>
    <row r="24" spans="2:21" ht="14.25" thickBot="1">
      <c r="B24" s="1278" t="s">
        <v>129</v>
      </c>
      <c r="C24" s="1279"/>
      <c r="D24" s="63">
        <f>D23</f>
        <v>30</v>
      </c>
      <c r="E24" s="7" t="s">
        <v>1060</v>
      </c>
      <c r="F24" s="8"/>
      <c r="G24" s="8"/>
      <c r="H24" s="8"/>
      <c r="I24" s="8"/>
      <c r="J24" s="8"/>
      <c r="K24" s="9"/>
      <c r="N24" s="237"/>
      <c r="O24" s="17" t="s">
        <v>138</v>
      </c>
      <c r="P24" s="33">
        <v>1</v>
      </c>
      <c r="Q24" s="33">
        <v>2</v>
      </c>
      <c r="R24" s="33">
        <v>3</v>
      </c>
      <c r="S24" s="33">
        <v>4</v>
      </c>
      <c r="T24" s="33">
        <v>5</v>
      </c>
      <c r="U24" s="34">
        <v>6</v>
      </c>
    </row>
    <row r="25" spans="2:21" ht="14.25" thickBot="1">
      <c r="B25" s="1071" t="s">
        <v>113</v>
      </c>
      <c r="C25" s="1072"/>
      <c r="D25" s="82">
        <f>IF(D23=0,P48,(P48-0.5)+(55+ROUNDUP($D$23/2,0))/100)</f>
        <v>0.85</v>
      </c>
      <c r="E25" s="7" t="s">
        <v>823</v>
      </c>
      <c r="F25" s="8">
        <v>20</v>
      </c>
      <c r="G25" s="8"/>
      <c r="H25" s="8"/>
      <c r="I25" s="8"/>
      <c r="J25" s="8"/>
      <c r="K25" s="9"/>
      <c r="N25" s="689" t="s">
        <v>51</v>
      </c>
      <c r="O25" s="100" t="s">
        <v>131</v>
      </c>
      <c r="P25" s="163">
        <f>Q23</f>
        <v>11.5</v>
      </c>
      <c r="Q25" s="164">
        <f>$Q$23*1.2^(Q24-1)</f>
        <v>13.799999999999999</v>
      </c>
      <c r="R25" s="164">
        <f>$Q$23*1.2^(R24-1)</f>
        <v>16.56</v>
      </c>
      <c r="S25" s="164">
        <f>$Q$23*1.2^(S24-1)</f>
        <v>19.872</v>
      </c>
      <c r="T25" s="164">
        <f>IF($S$23&gt;=5,$Q$23*1.2^(T24-1),0)</f>
        <v>23.8464</v>
      </c>
      <c r="U25" s="165">
        <f>IF($S$23&gt;=6,$Q$23*1.2^(U24-1),0)</f>
        <v>28.615679999999998</v>
      </c>
    </row>
    <row r="26" spans="2:21" ht="13.5">
      <c r="B26" s="1245" t="s">
        <v>222</v>
      </c>
      <c r="C26" s="1246"/>
      <c r="D26" s="2">
        <v>9</v>
      </c>
      <c r="E26" s="235" t="s">
        <v>975</v>
      </c>
      <c r="F26" s="8"/>
      <c r="G26" s="41">
        <f>ROUNDDOWN(G3*D27%,0)</f>
        <v>3</v>
      </c>
      <c r="H26" s="41">
        <f>ROUNDDOWN(H3*D27%,0)</f>
        <v>35</v>
      </c>
      <c r="I26" s="41">
        <f>ROUNDDOWN(I3*D27%,0)</f>
        <v>0</v>
      </c>
      <c r="J26" s="41">
        <f>ROUNDDOWN(J3*D27%,0)</f>
        <v>0</v>
      </c>
      <c r="K26" s="9">
        <v>23</v>
      </c>
      <c r="N26" s="1371" t="s">
        <v>56</v>
      </c>
      <c r="O26" s="122" t="s">
        <v>131</v>
      </c>
      <c r="P26" s="690">
        <f aca="true" t="shared" si="0" ref="P26:U26">INT($R$4*P25*(1+$B$33+$E$33+$B$51))</f>
        <v>79159</v>
      </c>
      <c r="Q26" s="691">
        <f t="shared" si="0"/>
        <v>94991</v>
      </c>
      <c r="R26" s="691">
        <f t="shared" si="0"/>
        <v>113990</v>
      </c>
      <c r="S26" s="691">
        <f t="shared" si="0"/>
        <v>136788</v>
      </c>
      <c r="T26" s="691">
        <f t="shared" si="0"/>
        <v>164145</v>
      </c>
      <c r="U26" s="692">
        <f t="shared" si="0"/>
        <v>196974</v>
      </c>
    </row>
    <row r="27" spans="2:21" ht="14.25" thickBot="1">
      <c r="B27" s="14" t="s">
        <v>62</v>
      </c>
      <c r="C27" s="571"/>
      <c r="D27" s="47">
        <f>ROUNDUP(D26/2,0)</f>
        <v>5</v>
      </c>
      <c r="E27" s="7" t="s">
        <v>63</v>
      </c>
      <c r="F27" s="44">
        <f>D24+D28</f>
        <v>30</v>
      </c>
      <c r="G27" s="44">
        <f>SUM(G4:G25)</f>
        <v>50</v>
      </c>
      <c r="H27" s="44">
        <f>SUM(H4:H25)</f>
        <v>97</v>
      </c>
      <c r="I27" s="44">
        <f>SUM(I4:I25)</f>
        <v>27</v>
      </c>
      <c r="J27" s="44">
        <f>SUM(J4:J25)</f>
        <v>27</v>
      </c>
      <c r="K27" s="45">
        <f>SUM(K3:K26)+D28</f>
        <v>51</v>
      </c>
      <c r="N27" s="1372"/>
      <c r="O27" s="202" t="s">
        <v>216</v>
      </c>
      <c r="P27" s="693">
        <f aca="true" t="shared" si="1" ref="P27:U27">INT(P26*$E$41)</f>
        <v>106864</v>
      </c>
      <c r="Q27" s="694">
        <f t="shared" si="1"/>
        <v>128237</v>
      </c>
      <c r="R27" s="694">
        <f t="shared" si="1"/>
        <v>153886</v>
      </c>
      <c r="S27" s="694">
        <f t="shared" si="1"/>
        <v>184663</v>
      </c>
      <c r="T27" s="694">
        <f t="shared" si="1"/>
        <v>221595</v>
      </c>
      <c r="U27" s="695">
        <f t="shared" si="1"/>
        <v>265914</v>
      </c>
    </row>
    <row r="28" spans="2:21" ht="14.25" thickBot="1">
      <c r="B28" s="17" t="s">
        <v>1024</v>
      </c>
      <c r="C28" s="210"/>
      <c r="D28" s="332">
        <v>0</v>
      </c>
      <c r="E28" s="14" t="s">
        <v>55</v>
      </c>
      <c r="F28" s="49">
        <f>D22+SUM(F4:F27)</f>
        <v>199</v>
      </c>
      <c r="G28" s="579">
        <f>INT((G3+G26+G27)*(1+G31))</f>
        <v>120</v>
      </c>
      <c r="H28" s="579">
        <f>INT((H3+H26+H27)*(1+H31))</f>
        <v>912</v>
      </c>
      <c r="I28" s="579">
        <f>INT((I3+I26+I27)*(1+I31))</f>
        <v>31</v>
      </c>
      <c r="J28" s="579">
        <f>INT((J3+J26+J27)*(1+J31))</f>
        <v>31</v>
      </c>
      <c r="K28" s="580">
        <f>($J$28+$H$28*1.2+K27)*(1+K31)</f>
        <v>1176.3999999999999</v>
      </c>
      <c r="N28" s="1369" t="s">
        <v>58</v>
      </c>
      <c r="O28" s="203" t="s">
        <v>131</v>
      </c>
      <c r="P28" s="690">
        <f aca="true" t="shared" si="2" ref="P28:U28">INT($T$4*P25*(1+$B$33+$E$33+$B$51))</f>
        <v>93129</v>
      </c>
      <c r="Q28" s="691">
        <f t="shared" si="2"/>
        <v>111754</v>
      </c>
      <c r="R28" s="691">
        <f t="shared" si="2"/>
        <v>134105</v>
      </c>
      <c r="S28" s="691">
        <f t="shared" si="2"/>
        <v>160927</v>
      </c>
      <c r="T28" s="691">
        <f t="shared" si="2"/>
        <v>193112</v>
      </c>
      <c r="U28" s="692">
        <f t="shared" si="2"/>
        <v>231735</v>
      </c>
    </row>
    <row r="29" spans="2:21" ht="14.25" thickBot="1">
      <c r="B29" s="1068" t="s">
        <v>645</v>
      </c>
      <c r="C29" s="1036"/>
      <c r="D29" s="1036"/>
      <c r="E29" s="1036"/>
      <c r="F29" s="1036"/>
      <c r="G29" s="1036"/>
      <c r="H29" s="1036"/>
      <c r="I29" s="1036"/>
      <c r="J29" s="1036"/>
      <c r="K29" s="1037"/>
      <c r="N29" s="1370"/>
      <c r="O29" s="202" t="s">
        <v>216</v>
      </c>
      <c r="P29" s="693">
        <f aca="true" t="shared" si="3" ref="P29:U29">INT(P28*$F$41)</f>
        <v>167632</v>
      </c>
      <c r="Q29" s="694">
        <f t="shared" si="3"/>
        <v>201157</v>
      </c>
      <c r="R29" s="694">
        <f t="shared" si="3"/>
        <v>241389</v>
      </c>
      <c r="S29" s="694">
        <f t="shared" si="3"/>
        <v>289668</v>
      </c>
      <c r="T29" s="694">
        <f t="shared" si="3"/>
        <v>347601</v>
      </c>
      <c r="U29" s="695">
        <f t="shared" si="3"/>
        <v>417123</v>
      </c>
    </row>
    <row r="30" spans="2:21" ht="13.5">
      <c r="B30" s="1085" t="s">
        <v>443</v>
      </c>
      <c r="C30" s="1086"/>
      <c r="D30" s="1087"/>
      <c r="E30" s="1038" t="s">
        <v>646</v>
      </c>
      <c r="F30" s="1039"/>
      <c r="G30" s="1" t="s">
        <v>650</v>
      </c>
      <c r="H30" s="3" t="s">
        <v>649</v>
      </c>
      <c r="I30" s="3" t="s">
        <v>648</v>
      </c>
      <c r="J30" s="3" t="s">
        <v>647</v>
      </c>
      <c r="K30" s="4" t="s">
        <v>651</v>
      </c>
      <c r="N30" s="1355" t="s">
        <v>57</v>
      </c>
      <c r="O30" s="100" t="s">
        <v>131</v>
      </c>
      <c r="P30" s="696">
        <f aca="true" t="shared" si="4" ref="P30:U31">INT((P26+P28)/2)</f>
        <v>86144</v>
      </c>
      <c r="Q30" s="383">
        <f t="shared" si="4"/>
        <v>103372</v>
      </c>
      <c r="R30" s="383">
        <f t="shared" si="4"/>
        <v>124047</v>
      </c>
      <c r="S30" s="383">
        <f t="shared" si="4"/>
        <v>148857</v>
      </c>
      <c r="T30" s="383">
        <f t="shared" si="4"/>
        <v>178628</v>
      </c>
      <c r="U30" s="697">
        <f t="shared" si="4"/>
        <v>214354</v>
      </c>
    </row>
    <row r="31" spans="2:21" ht="14.25" thickBot="1">
      <c r="B31" s="1091">
        <v>0</v>
      </c>
      <c r="C31" s="1132"/>
      <c r="D31" s="1093"/>
      <c r="E31" s="1040">
        <v>0</v>
      </c>
      <c r="F31" s="1032"/>
      <c r="G31" s="575">
        <v>0</v>
      </c>
      <c r="H31" s="576">
        <v>0.09</v>
      </c>
      <c r="I31" s="576">
        <v>0</v>
      </c>
      <c r="J31" s="576">
        <v>0</v>
      </c>
      <c r="K31" s="577">
        <v>0</v>
      </c>
      <c r="N31" s="1356"/>
      <c r="O31" s="181" t="s">
        <v>216</v>
      </c>
      <c r="P31" s="698">
        <f t="shared" si="4"/>
        <v>137248</v>
      </c>
      <c r="Q31" s="699">
        <f t="shared" si="4"/>
        <v>164697</v>
      </c>
      <c r="R31" s="699">
        <f t="shared" si="4"/>
        <v>197637</v>
      </c>
      <c r="S31" s="699">
        <f t="shared" si="4"/>
        <v>237165</v>
      </c>
      <c r="T31" s="699">
        <f t="shared" si="4"/>
        <v>284598</v>
      </c>
      <c r="U31" s="161">
        <f t="shared" si="4"/>
        <v>341518</v>
      </c>
    </row>
    <row r="32" spans="2:21" ht="14.25" thickBot="1">
      <c r="B32" s="1088" t="s">
        <v>644</v>
      </c>
      <c r="C32" s="1089"/>
      <c r="D32" s="1090"/>
      <c r="E32" s="984" t="s">
        <v>551</v>
      </c>
      <c r="F32" s="976"/>
      <c r="N32" s="1357"/>
      <c r="O32" s="180" t="s">
        <v>140</v>
      </c>
      <c r="P32" s="700">
        <f aca="true" t="shared" si="5" ref="P32:U32">INT(P30*(1-$G$41)+P31*$G$41)</f>
        <v>119361</v>
      </c>
      <c r="Q32" s="701">
        <f t="shared" si="5"/>
        <v>143233</v>
      </c>
      <c r="R32" s="701">
        <f t="shared" si="5"/>
        <v>171880</v>
      </c>
      <c r="S32" s="701">
        <f t="shared" si="5"/>
        <v>206257</v>
      </c>
      <c r="T32" s="701">
        <f t="shared" si="5"/>
        <v>247508</v>
      </c>
      <c r="U32" s="702">
        <f t="shared" si="5"/>
        <v>297010</v>
      </c>
    </row>
    <row r="33" spans="2:6" ht="14.25" thickBot="1">
      <c r="B33" s="1091">
        <v>0</v>
      </c>
      <c r="C33" s="1092"/>
      <c r="D33" s="1093"/>
      <c r="E33" s="1040">
        <v>0</v>
      </c>
      <c r="F33" s="1032"/>
    </row>
    <row r="34" spans="14:19" ht="14.25" thickBot="1">
      <c r="N34" s="977" t="s">
        <v>661</v>
      </c>
      <c r="O34" s="978"/>
      <c r="P34" s="978"/>
      <c r="Q34" s="979"/>
      <c r="R34" s="301" t="s">
        <v>51</v>
      </c>
      <c r="S34" s="302">
        <f>(280+4*30)/100</f>
        <v>4</v>
      </c>
    </row>
    <row r="35" spans="2:19" ht="14.25" thickBot="1">
      <c r="B35" s="1047" t="s">
        <v>1120</v>
      </c>
      <c r="C35" s="1048"/>
      <c r="D35" s="1048"/>
      <c r="E35" s="535" t="s">
        <v>56</v>
      </c>
      <c r="F35" s="19" t="s">
        <v>58</v>
      </c>
      <c r="G35" s="536" t="s">
        <v>750</v>
      </c>
      <c r="I35" s="1041" t="s">
        <v>218</v>
      </c>
      <c r="J35" s="1042"/>
      <c r="K35" s="1043"/>
      <c r="N35" s="988" t="s">
        <v>107</v>
      </c>
      <c r="O35" s="77" t="s">
        <v>56</v>
      </c>
      <c r="P35" s="554">
        <f>INT(($R$4*S34)*(1+$B$33+$E$33+$B$51))</f>
        <v>27533</v>
      </c>
      <c r="Q35" s="1292" t="s">
        <v>324</v>
      </c>
      <c r="R35" s="88" t="s">
        <v>56</v>
      </c>
      <c r="S35" s="551">
        <f>INT(P35*$E$41)</f>
        <v>37169</v>
      </c>
    </row>
    <row r="36" spans="2:19" ht="14.25" thickBot="1">
      <c r="B36" s="1133" t="s">
        <v>1122</v>
      </c>
      <c r="C36" s="1134"/>
      <c r="D36" s="1135"/>
      <c r="E36" s="36">
        <f>(120+ROUNDUP(D23/2,0))/100</f>
        <v>1.35</v>
      </c>
      <c r="F36" s="539">
        <v>1.5</v>
      </c>
      <c r="G36" s="260">
        <f>(S48*2+5)/100</f>
        <v>0.45</v>
      </c>
      <c r="I36" s="1041" t="s">
        <v>220</v>
      </c>
      <c r="J36" s="1053"/>
      <c r="K36" s="1054"/>
      <c r="N36" s="1051"/>
      <c r="O36" s="44" t="s">
        <v>57</v>
      </c>
      <c r="P36" s="555">
        <f>INT((P35+P37)/2)</f>
        <v>29962</v>
      </c>
      <c r="Q36" s="1293"/>
      <c r="R36" s="80" t="s">
        <v>57</v>
      </c>
      <c r="S36" s="552">
        <f>INT((S35+S37)/2)</f>
        <v>47737</v>
      </c>
    </row>
    <row r="37" spans="2:19" ht="14.25" thickBot="1">
      <c r="B37" s="1051" t="s">
        <v>1117</v>
      </c>
      <c r="C37" s="1052"/>
      <c r="D37" s="548">
        <v>30</v>
      </c>
      <c r="E37" s="538"/>
      <c r="F37" s="537">
        <f>D37/100</f>
        <v>0.3</v>
      </c>
      <c r="G37" s="543">
        <f>IF(D37=0,0,(5+ROUNDUP(D37/2,0))/100)</f>
        <v>0.2</v>
      </c>
      <c r="I37" s="871" t="s">
        <v>217</v>
      </c>
      <c r="J37" s="224"/>
      <c r="K37" s="247">
        <v>0</v>
      </c>
      <c r="N37" s="989"/>
      <c r="O37" s="15" t="s">
        <v>58</v>
      </c>
      <c r="P37" s="556">
        <f>INT(($T$4*S34)*(1+$B$33+$E$33+$B$51))</f>
        <v>32392</v>
      </c>
      <c r="Q37" s="81" t="s">
        <v>112</v>
      </c>
      <c r="R37" s="87" t="s">
        <v>58</v>
      </c>
      <c r="S37" s="553">
        <f>INT(P37*$F$41)</f>
        <v>58305</v>
      </c>
    </row>
    <row r="38" spans="2:19" ht="14.25" thickBot="1">
      <c r="B38" s="1051" t="s">
        <v>1118</v>
      </c>
      <c r="C38" s="1052"/>
      <c r="D38" s="548">
        <v>0</v>
      </c>
      <c r="E38" s="538">
        <f>D38/100</f>
        <v>0</v>
      </c>
      <c r="F38" s="537"/>
      <c r="G38" s="543">
        <f>IF(D38=0,0,(5+ROUNDUP(D38/2,0))/100)</f>
        <v>0</v>
      </c>
      <c r="N38" s="1065" t="s">
        <v>127</v>
      </c>
      <c r="O38" s="1066"/>
      <c r="P38" s="1391"/>
      <c r="Q38" s="1392">
        <f>INT(P36*(1-$G$41)+S36*$G$41)</f>
        <v>41515</v>
      </c>
      <c r="R38" s="1392"/>
      <c r="S38" s="1393"/>
    </row>
    <row r="39" spans="1:13" ht="14.25" thickBot="1">
      <c r="A39" s="421" t="b">
        <v>0</v>
      </c>
      <c r="B39" s="1051" t="s">
        <v>1119</v>
      </c>
      <c r="C39" s="1052"/>
      <c r="D39" s="544"/>
      <c r="E39" s="538"/>
      <c r="F39" s="537">
        <f>IF(H39="true",0.15,0)</f>
        <v>0</v>
      </c>
      <c r="G39" s="543">
        <f>IF(H39="true",0.1,0)</f>
        <v>0</v>
      </c>
      <c r="H39" s="421" t="str">
        <f>IF(A39=TRUE,"TRUE",IF(D39=1,"TRUE","FLASE"))</f>
        <v>FLASE</v>
      </c>
      <c r="I39" s="1058" t="s">
        <v>1163</v>
      </c>
      <c r="J39" s="1059"/>
      <c r="K39" s="896"/>
      <c r="L39" s="421" t="b">
        <v>0</v>
      </c>
      <c r="M39" s="514" t="str">
        <f>IF(L39=TRUE,"TRUE",IF(K39=1,"TRUE","FLASE"))</f>
        <v>FLASE</v>
      </c>
    </row>
    <row r="40" spans="2:19" ht="14.25" thickBot="1">
      <c r="B40" s="1055" t="s">
        <v>1121</v>
      </c>
      <c r="C40" s="1056"/>
      <c r="D40" s="1057"/>
      <c r="E40" s="545">
        <v>0</v>
      </c>
      <c r="F40" s="546">
        <v>0</v>
      </c>
      <c r="G40" s="547">
        <v>0</v>
      </c>
      <c r="I40" s="637" t="s">
        <v>787</v>
      </c>
      <c r="J40" s="893"/>
      <c r="K40" s="894">
        <v>0</v>
      </c>
      <c r="N40" s="977" t="s">
        <v>768</v>
      </c>
      <c r="O40" s="978"/>
      <c r="P40" s="978"/>
      <c r="Q40" s="978"/>
      <c r="R40" s="978"/>
      <c r="S40" s="979"/>
    </row>
    <row r="41" spans="2:19" ht="14.25" thickBot="1">
      <c r="B41" s="1044" t="s">
        <v>1123</v>
      </c>
      <c r="C41" s="1045"/>
      <c r="D41" s="1046"/>
      <c r="E41" s="540">
        <f>E36+MAX(E38,E39)+E40</f>
        <v>1.35</v>
      </c>
      <c r="F41" s="541">
        <f>F36+MAX(F37,F39)+F40</f>
        <v>1.8</v>
      </c>
      <c r="G41" s="542">
        <f>G36+MAX(G37,G38,G39)+G40</f>
        <v>0.65</v>
      </c>
      <c r="I41" s="1060" t="s">
        <v>530</v>
      </c>
      <c r="J41" s="1061"/>
      <c r="K41" s="895">
        <f>IF(M39="true",IF(K40&gt;0,10+ROUNDUP(K40/3,0),11)/100,0)</f>
        <v>0</v>
      </c>
      <c r="L41" s="342"/>
      <c r="M41" s="342"/>
      <c r="N41" s="310" t="s">
        <v>293</v>
      </c>
      <c r="O41" s="290">
        <f>D10</f>
        <v>1</v>
      </c>
      <c r="P41" s="259" t="s">
        <v>104</v>
      </c>
      <c r="Q41" s="428">
        <f>(180+5*D10)/100</f>
        <v>1.85</v>
      </c>
      <c r="R41" s="14" t="s">
        <v>545</v>
      </c>
      <c r="S41" s="16">
        <f>O41*3+110</f>
        <v>113</v>
      </c>
    </row>
    <row r="42" spans="2:19" ht="14.25" thickBot="1">
      <c r="B42" s="1136" t="s">
        <v>135</v>
      </c>
      <c r="C42" s="1137"/>
      <c r="D42" s="1138"/>
      <c r="E42" s="1011">
        <f>(($E$41+$F$41)/2-1)*$G$41+1</f>
        <v>1.3737500000000002</v>
      </c>
      <c r="F42" s="1012"/>
      <c r="G42" s="1005"/>
      <c r="N42" s="1205" t="s">
        <v>710</v>
      </c>
      <c r="O42" s="1315"/>
      <c r="P42" s="329">
        <f>60/S41</f>
        <v>0.5309734513274337</v>
      </c>
      <c r="Q42" s="1318" t="s">
        <v>732</v>
      </c>
      <c r="R42" s="1319"/>
      <c r="S42" s="84">
        <v>20</v>
      </c>
    </row>
    <row r="43" spans="9:19" ht="14.25" thickBot="1">
      <c r="I43" s="1075" t="s">
        <v>1188</v>
      </c>
      <c r="J43" s="1076"/>
      <c r="K43" s="1077"/>
      <c r="N43" s="311" t="s">
        <v>707</v>
      </c>
      <c r="O43" s="4">
        <f>INT(Q43*0.5)</f>
        <v>7958</v>
      </c>
      <c r="P43" s="311" t="s">
        <v>704</v>
      </c>
      <c r="Q43" s="4">
        <f>MIN(INT(($N$4*Q41)*(1+$B$33+$E$33+$B$51)),ReadMe!$M$94)</f>
        <v>15917</v>
      </c>
      <c r="R43" s="311" t="s">
        <v>679</v>
      </c>
      <c r="S43" s="4">
        <f>MIN(INT(Q43*1.5),ReadMe!$M$94)</f>
        <v>23875</v>
      </c>
    </row>
    <row r="44" spans="2:19" ht="13.5">
      <c r="B44" s="1049" t="s">
        <v>416</v>
      </c>
      <c r="C44" s="1050"/>
      <c r="D44" s="566">
        <v>125</v>
      </c>
      <c r="E44" s="1147" t="s">
        <v>417</v>
      </c>
      <c r="F44" s="1148"/>
      <c r="G44" s="26">
        <f>IF(D2&gt;D44,0,$D$44-$D$2)</f>
        <v>0</v>
      </c>
      <c r="I44" s="439" t="s">
        <v>1189</v>
      </c>
      <c r="J44" s="572"/>
      <c r="K44" s="223">
        <v>0</v>
      </c>
      <c r="L44" s="342"/>
      <c r="M44" s="342"/>
      <c r="N44" s="7" t="s">
        <v>708</v>
      </c>
      <c r="O44" s="45">
        <f>INT(Q44*0.5)</f>
        <v>8661</v>
      </c>
      <c r="P44" s="7" t="s">
        <v>705</v>
      </c>
      <c r="Q44" s="45">
        <f>INT((Q43+Q45)/2)</f>
        <v>17322</v>
      </c>
      <c r="R44" s="7" t="s">
        <v>680</v>
      </c>
      <c r="S44" s="45">
        <f>MIN(INT(Q44*1.5),ReadMe!$M$94)</f>
        <v>25983</v>
      </c>
    </row>
    <row r="45" spans="2:19" ht="14.25" thickBot="1">
      <c r="B45" s="1006" t="s">
        <v>450</v>
      </c>
      <c r="C45" s="1007"/>
      <c r="D45" s="9">
        <v>12</v>
      </c>
      <c r="E45" s="1006" t="s">
        <v>452</v>
      </c>
      <c r="F45" s="1007"/>
      <c r="G45" s="665">
        <f>IF(G44&gt;0,"-",D45)</f>
        <v>12</v>
      </c>
      <c r="I45" s="440" t="s">
        <v>1190</v>
      </c>
      <c r="J45" s="573"/>
      <c r="K45" s="441">
        <f>IF(K44&gt;0,(K44+10)/100,0)</f>
        <v>0</v>
      </c>
      <c r="N45" s="14" t="s">
        <v>709</v>
      </c>
      <c r="O45" s="148">
        <f>INT(Q45*0.5)</f>
        <v>9363</v>
      </c>
      <c r="P45" s="14" t="s">
        <v>706</v>
      </c>
      <c r="Q45" s="148">
        <f>MIN(INT(($P$4*Q41)*(1+$B$33+$E$33+$B$51)),ReadMe!$M$94)</f>
        <v>18727</v>
      </c>
      <c r="R45" s="14" t="s">
        <v>681</v>
      </c>
      <c r="S45" s="148">
        <f>MIN(INT(Q45*1.5),ReadMe!$M$94)</f>
        <v>28090</v>
      </c>
    </row>
    <row r="46" spans="2:7" ht="14.25" thickBot="1">
      <c r="B46" s="997" t="s">
        <v>415</v>
      </c>
      <c r="C46" s="998"/>
      <c r="D46" s="9">
        <v>0</v>
      </c>
      <c r="E46" s="1006" t="s">
        <v>451</v>
      </c>
      <c r="F46" s="1007"/>
      <c r="G46" s="543">
        <f>MAX((MIN(100+SQRT($K$28)-SQRT($D$45),100)-5*G44)/100,0)</f>
        <v>1</v>
      </c>
    </row>
    <row r="47" spans="2:19" ht="14.25" thickBot="1">
      <c r="B47" s="1008" t="s">
        <v>642</v>
      </c>
      <c r="C47" s="1009"/>
      <c r="D47" s="567">
        <v>0.25</v>
      </c>
      <c r="E47" s="1145" t="s">
        <v>643</v>
      </c>
      <c r="F47" s="1146"/>
      <c r="G47" s="29">
        <f>1-(D47*(1-(D21+K45)))</f>
        <v>0.8</v>
      </c>
      <c r="I47" s="1003" t="s">
        <v>1110</v>
      </c>
      <c r="J47" s="1004"/>
      <c r="K47" s="996"/>
      <c r="L47" s="342"/>
      <c r="M47" s="168"/>
      <c r="N47" s="1316" t="s">
        <v>1050</v>
      </c>
      <c r="O47" s="1213"/>
      <c r="P47" s="1213"/>
      <c r="Q47" s="1213"/>
      <c r="R47" s="1213"/>
      <c r="S47" s="1317"/>
    </row>
    <row r="48" spans="4:19" ht="14.25" thickBot="1">
      <c r="D48" s="421">
        <f>$D$46*(1-($K$45+$B$31+$D$21))</f>
        <v>0</v>
      </c>
      <c r="I48" s="1083" t="s">
        <v>652</v>
      </c>
      <c r="J48" s="1084"/>
      <c r="K48" s="493"/>
      <c r="L48" s="514" t="b">
        <v>0</v>
      </c>
      <c r="M48" s="514" t="str">
        <f>IF(L48=TRUE,"TRUE",IF(K48=1,"TRUE","FLASE"))</f>
        <v>FLASE</v>
      </c>
      <c r="N48" s="1023" t="s">
        <v>113</v>
      </c>
      <c r="O48" s="1114"/>
      <c r="P48" s="487">
        <v>0.65</v>
      </c>
      <c r="Q48" s="1068" t="s">
        <v>958</v>
      </c>
      <c r="R48" s="1036"/>
      <c r="S48" s="332">
        <v>20</v>
      </c>
    </row>
    <row r="49" spans="2:19" ht="14.25" thickBot="1">
      <c r="B49" s="1078" t="s">
        <v>749</v>
      </c>
      <c r="C49" s="1079"/>
      <c r="D49" s="1080"/>
      <c r="I49" s="994" t="s">
        <v>653</v>
      </c>
      <c r="J49" s="995"/>
      <c r="K49" s="494"/>
      <c r="L49" s="514" t="b">
        <v>0</v>
      </c>
      <c r="M49" s="514" t="str">
        <f>IF(L49=TRUE,"TRUE",IF(K49=1,"TRUE","FLASE"))</f>
        <v>FLASE</v>
      </c>
      <c r="N49" s="1205" t="s">
        <v>1051</v>
      </c>
      <c r="O49" s="1206"/>
      <c r="P49" s="487">
        <v>1</v>
      </c>
      <c r="Q49" s="1320" t="s">
        <v>997</v>
      </c>
      <c r="R49" s="1321"/>
      <c r="S49" s="375">
        <v>1</v>
      </c>
    </row>
    <row r="50" spans="2:19" ht="14.25" thickBot="1">
      <c r="B50" s="999" t="s">
        <v>551</v>
      </c>
      <c r="C50" s="1000"/>
      <c r="D50" s="1001"/>
      <c r="I50" s="1002" t="s">
        <v>530</v>
      </c>
      <c r="J50" s="993"/>
      <c r="K50" s="225">
        <f>IF(M48="TRUE",1.04,IF(M49="TRUE",1.02,1))</f>
        <v>1</v>
      </c>
      <c r="L50" s="352"/>
      <c r="M50" s="352"/>
      <c r="N50" s="988" t="s">
        <v>107</v>
      </c>
      <c r="O50" s="77" t="s">
        <v>56</v>
      </c>
      <c r="P50" s="554">
        <f>INT(($R$4*P49)*(1+$B$33+$E$33+$B$51))</f>
        <v>6883</v>
      </c>
      <c r="Q50" s="1292" t="s">
        <v>324</v>
      </c>
      <c r="R50" s="88" t="s">
        <v>56</v>
      </c>
      <c r="S50" s="551">
        <f>INT(P50*$E$41)</f>
        <v>9292</v>
      </c>
    </row>
    <row r="51" spans="2:19" ht="14.25" thickBot="1">
      <c r="B51" s="1142">
        <v>0</v>
      </c>
      <c r="C51" s="1143"/>
      <c r="D51" s="1144"/>
      <c r="N51" s="1051"/>
      <c r="O51" s="44" t="s">
        <v>57</v>
      </c>
      <c r="P51" s="555">
        <f>INT((P50+P52)/2)</f>
        <v>7490</v>
      </c>
      <c r="Q51" s="1293"/>
      <c r="R51" s="80" t="s">
        <v>57</v>
      </c>
      <c r="S51" s="552">
        <f>INT((S50+S52)/2)</f>
        <v>11934</v>
      </c>
    </row>
    <row r="52" spans="14:19" ht="14.25" thickBot="1">
      <c r="N52" s="989"/>
      <c r="O52" s="15" t="s">
        <v>58</v>
      </c>
      <c r="P52" s="556">
        <f>INT(($T$4*P49)*(1+$B$33+$E$33+$B$51))</f>
        <v>8098</v>
      </c>
      <c r="Q52" s="81" t="s">
        <v>112</v>
      </c>
      <c r="R52" s="87" t="s">
        <v>58</v>
      </c>
      <c r="S52" s="553">
        <f>INT(P52*$F$41)</f>
        <v>14576</v>
      </c>
    </row>
    <row r="53" spans="2:19" ht="14.25" thickBot="1">
      <c r="B53" s="1023" t="s">
        <v>64</v>
      </c>
      <c r="C53" s="1024"/>
      <c r="D53" s="1024"/>
      <c r="E53" s="1024"/>
      <c r="F53" s="1024"/>
      <c r="G53" s="1024"/>
      <c r="H53" s="1024"/>
      <c r="I53" s="1024"/>
      <c r="J53" s="1024"/>
      <c r="K53" s="1024"/>
      <c r="L53" s="1025"/>
      <c r="N53" s="1065" t="s">
        <v>127</v>
      </c>
      <c r="O53" s="1066"/>
      <c r="P53" s="1067"/>
      <c r="Q53" s="1327">
        <f>INT(P51*(1-$G$41)+S51*$G$41)</f>
        <v>10378</v>
      </c>
      <c r="R53" s="1327"/>
      <c r="S53" s="1328"/>
    </row>
    <row r="54" spans="2:19" ht="14.25" thickBot="1">
      <c r="B54" s="1018" t="s">
        <v>139</v>
      </c>
      <c r="C54" s="1019"/>
      <c r="D54" s="1020"/>
      <c r="E54" s="1020"/>
      <c r="F54" s="1020"/>
      <c r="G54" s="1020"/>
      <c r="H54" s="1020"/>
      <c r="I54" s="1020"/>
      <c r="J54" s="1020"/>
      <c r="K54" s="1020"/>
      <c r="L54" s="1016"/>
      <c r="N54" s="1065" t="s">
        <v>407</v>
      </c>
      <c r="O54" s="1066"/>
      <c r="P54" s="1067"/>
      <c r="Q54" s="1294">
        <f>Q53*S49</f>
        <v>10378</v>
      </c>
      <c r="R54" s="1295"/>
      <c r="S54" s="1296"/>
    </row>
    <row r="55" spans="2:12" ht="13.5">
      <c r="B55" s="1017" t="s">
        <v>356</v>
      </c>
      <c r="C55" s="1015"/>
      <c r="D55" s="1013"/>
      <c r="E55" s="1013"/>
      <c r="F55" s="1013"/>
      <c r="G55" s="1013"/>
      <c r="H55" s="1013"/>
      <c r="I55" s="1013"/>
      <c r="J55" s="1013"/>
      <c r="K55" s="1013"/>
      <c r="L55" s="1010"/>
    </row>
    <row r="56" spans="2:12" ht="13.5">
      <c r="B56" s="1017" t="s">
        <v>338</v>
      </c>
      <c r="C56" s="1015"/>
      <c r="D56" s="1013"/>
      <c r="E56" s="1013"/>
      <c r="F56" s="1013"/>
      <c r="G56" s="1013"/>
      <c r="H56" s="1013"/>
      <c r="I56" s="1013"/>
      <c r="J56" s="1013"/>
      <c r="K56" s="1013"/>
      <c r="L56" s="1010"/>
    </row>
    <row r="57" spans="2:12" ht="13.5">
      <c r="B57" s="1017" t="s">
        <v>812</v>
      </c>
      <c r="C57" s="1015"/>
      <c r="D57" s="1013"/>
      <c r="E57" s="1013"/>
      <c r="F57" s="1013"/>
      <c r="G57" s="1013"/>
      <c r="H57" s="1013"/>
      <c r="I57" s="1013"/>
      <c r="J57" s="1013"/>
      <c r="K57" s="1013"/>
      <c r="L57" s="1010"/>
    </row>
    <row r="58" spans="2:12" ht="13.5">
      <c r="B58" s="1360" t="s">
        <v>484</v>
      </c>
      <c r="C58" s="1361"/>
      <c r="D58" s="1362"/>
      <c r="E58" s="1362"/>
      <c r="F58" s="1362"/>
      <c r="G58" s="1362"/>
      <c r="H58" s="1362"/>
      <c r="I58" s="1362"/>
      <c r="J58" s="1362"/>
      <c r="K58" s="1362"/>
      <c r="L58" s="1363"/>
    </row>
    <row r="59" spans="2:12" ht="13.5">
      <c r="B59" s="1360" t="s">
        <v>485</v>
      </c>
      <c r="C59" s="1361"/>
      <c r="D59" s="1362"/>
      <c r="E59" s="1362"/>
      <c r="F59" s="1362"/>
      <c r="G59" s="1362"/>
      <c r="H59" s="1362"/>
      <c r="I59" s="1362"/>
      <c r="J59" s="1362"/>
      <c r="K59" s="1362"/>
      <c r="L59" s="1363"/>
    </row>
    <row r="60" spans="2:17" ht="13.5">
      <c r="B60" s="1360" t="s">
        <v>357</v>
      </c>
      <c r="C60" s="1361"/>
      <c r="D60" s="1362"/>
      <c r="E60" s="1362"/>
      <c r="F60" s="1362"/>
      <c r="G60" s="1362"/>
      <c r="H60" s="1362"/>
      <c r="I60" s="1362"/>
      <c r="J60" s="1362"/>
      <c r="K60" s="1362"/>
      <c r="L60" s="1363"/>
      <c r="Q60" s="336"/>
    </row>
    <row r="61" spans="2:12" ht="13.5">
      <c r="B61" s="1360" t="s">
        <v>0</v>
      </c>
      <c r="C61" s="1361"/>
      <c r="D61" s="1362"/>
      <c r="E61" s="1362"/>
      <c r="F61" s="1362"/>
      <c r="G61" s="1362"/>
      <c r="H61" s="1362"/>
      <c r="I61" s="1362"/>
      <c r="J61" s="1362"/>
      <c r="K61" s="1362"/>
      <c r="L61" s="1363"/>
    </row>
    <row r="62" spans="2:12" ht="13.5">
      <c r="B62" s="1360" t="s">
        <v>3</v>
      </c>
      <c r="C62" s="1361"/>
      <c r="D62" s="1362"/>
      <c r="E62" s="1362"/>
      <c r="F62" s="1362"/>
      <c r="G62" s="1362"/>
      <c r="H62" s="1362"/>
      <c r="I62" s="1362"/>
      <c r="J62" s="1362"/>
      <c r="K62" s="1362"/>
      <c r="L62" s="1363"/>
    </row>
    <row r="63" spans="2:12" ht="13.5">
      <c r="B63" s="1360" t="s">
        <v>4</v>
      </c>
      <c r="C63" s="1361"/>
      <c r="D63" s="1362"/>
      <c r="E63" s="1362"/>
      <c r="F63" s="1362"/>
      <c r="G63" s="1362"/>
      <c r="H63" s="1362"/>
      <c r="I63" s="1362"/>
      <c r="J63" s="1362"/>
      <c r="K63" s="1362"/>
      <c r="L63" s="1363"/>
    </row>
    <row r="64" spans="2:12" ht="14.25" thickBot="1">
      <c r="B64" s="1364" t="s">
        <v>5</v>
      </c>
      <c r="C64" s="1365"/>
      <c r="D64" s="1366"/>
      <c r="E64" s="1366"/>
      <c r="F64" s="1366"/>
      <c r="G64" s="1366"/>
      <c r="H64" s="1366"/>
      <c r="I64" s="1366"/>
      <c r="J64" s="1366"/>
      <c r="K64" s="1366"/>
      <c r="L64" s="1367"/>
    </row>
  </sheetData>
  <sheetProtection/>
  <protectedRanges>
    <protectedRange sqref="D44:D45 D47" name="範囲1_1"/>
  </protectedRanges>
  <mergeCells count="125">
    <mergeCell ref="B45:C45"/>
    <mergeCell ref="E45:F45"/>
    <mergeCell ref="I50:J50"/>
    <mergeCell ref="B49:D49"/>
    <mergeCell ref="B46:C46"/>
    <mergeCell ref="E46:F46"/>
    <mergeCell ref="B42:D42"/>
    <mergeCell ref="E42:G42"/>
    <mergeCell ref="B38:C38"/>
    <mergeCell ref="I39:J39"/>
    <mergeCell ref="I41:J41"/>
    <mergeCell ref="B39:C39"/>
    <mergeCell ref="B41:D41"/>
    <mergeCell ref="E44:F44"/>
    <mergeCell ref="N42:O42"/>
    <mergeCell ref="N34:Q34"/>
    <mergeCell ref="N35:N37"/>
    <mergeCell ref="Q35:Q36"/>
    <mergeCell ref="Q38:S38"/>
    <mergeCell ref="I35:K35"/>
    <mergeCell ref="Q54:S54"/>
    <mergeCell ref="N38:P38"/>
    <mergeCell ref="N48:O48"/>
    <mergeCell ref="Q48:R48"/>
    <mergeCell ref="N53:P53"/>
    <mergeCell ref="Q53:S53"/>
    <mergeCell ref="N49:O49"/>
    <mergeCell ref="Q49:R49"/>
    <mergeCell ref="Q50:Q51"/>
    <mergeCell ref="N40:S40"/>
    <mergeCell ref="F1:P1"/>
    <mergeCell ref="N2:P2"/>
    <mergeCell ref="N22:S22"/>
    <mergeCell ref="R2:T2"/>
    <mergeCell ref="N10:P10"/>
    <mergeCell ref="N14:O14"/>
    <mergeCell ref="N7:N9"/>
    <mergeCell ref="Q17:R17"/>
    <mergeCell ref="Q10:S10"/>
    <mergeCell ref="B29:K29"/>
    <mergeCell ref="Q11:S11"/>
    <mergeCell ref="Q12:S12"/>
    <mergeCell ref="Q13:S13"/>
    <mergeCell ref="Q14:R14"/>
    <mergeCell ref="N11:O13"/>
    <mergeCell ref="B31:D31"/>
    <mergeCell ref="B25:C25"/>
    <mergeCell ref="B26:C26"/>
    <mergeCell ref="N17:O17"/>
    <mergeCell ref="N19:P19"/>
    <mergeCell ref="N28:N29"/>
    <mergeCell ref="N26:N27"/>
    <mergeCell ref="E31:F31"/>
    <mergeCell ref="B30:D30"/>
    <mergeCell ref="E30:F30"/>
    <mergeCell ref="Y15:Z15"/>
    <mergeCell ref="U15:V15"/>
    <mergeCell ref="N16:S16"/>
    <mergeCell ref="W15:X15"/>
    <mergeCell ref="Q15:S15"/>
    <mergeCell ref="N15:P15"/>
    <mergeCell ref="U18:Z18"/>
    <mergeCell ref="U19:V19"/>
    <mergeCell ref="W19:X19"/>
    <mergeCell ref="Y19:Z19"/>
    <mergeCell ref="U13:Z13"/>
    <mergeCell ref="U14:V14"/>
    <mergeCell ref="W14:X14"/>
    <mergeCell ref="Y14:Z14"/>
    <mergeCell ref="B64:L64"/>
    <mergeCell ref="B61:L61"/>
    <mergeCell ref="B59:L59"/>
    <mergeCell ref="N54:P54"/>
    <mergeCell ref="B60:L60"/>
    <mergeCell ref="B58:L58"/>
    <mergeCell ref="B57:L57"/>
    <mergeCell ref="B35:D35"/>
    <mergeCell ref="B37:C37"/>
    <mergeCell ref="I49:J49"/>
    <mergeCell ref="B40:D40"/>
    <mergeCell ref="B47:C47"/>
    <mergeCell ref="E47:F47"/>
    <mergeCell ref="B36:D36"/>
    <mergeCell ref="I47:K47"/>
    <mergeCell ref="I48:J48"/>
    <mergeCell ref="B44:C44"/>
    <mergeCell ref="N50:N52"/>
    <mergeCell ref="B62:L62"/>
    <mergeCell ref="B63:L63"/>
    <mergeCell ref="B56:L56"/>
    <mergeCell ref="B55:L55"/>
    <mergeCell ref="B54:L54"/>
    <mergeCell ref="B53:L53"/>
    <mergeCell ref="B50:D50"/>
    <mergeCell ref="B51:D51"/>
    <mergeCell ref="N47:S47"/>
    <mergeCell ref="Q42:R42"/>
    <mergeCell ref="I36:K36"/>
    <mergeCell ref="I43:K43"/>
    <mergeCell ref="B32:D32"/>
    <mergeCell ref="B33:D33"/>
    <mergeCell ref="E33:F33"/>
    <mergeCell ref="Y20:Z20"/>
    <mergeCell ref="U20:V20"/>
    <mergeCell ref="W20:X20"/>
    <mergeCell ref="N30:N32"/>
    <mergeCell ref="Q20:S20"/>
    <mergeCell ref="N20:P20"/>
    <mergeCell ref="E32:F32"/>
    <mergeCell ref="B2:C2"/>
    <mergeCell ref="B22:C22"/>
    <mergeCell ref="B24:C24"/>
    <mergeCell ref="B4:D4"/>
    <mergeCell ref="B19:C19"/>
    <mergeCell ref="D19:D20"/>
    <mergeCell ref="B20:C20"/>
    <mergeCell ref="B21:C21"/>
    <mergeCell ref="B6:C6"/>
    <mergeCell ref="B7:C7"/>
    <mergeCell ref="V2:Y2"/>
    <mergeCell ref="V7:W7"/>
    <mergeCell ref="X7:Y7"/>
    <mergeCell ref="D6:D7"/>
    <mergeCell ref="N6:Q6"/>
    <mergeCell ref="Q7:Q8"/>
  </mergeCells>
  <printOptions/>
  <pageMargins left="0.75" right="0.75" top="1" bottom="1" header="0.512" footer="0.512"/>
  <pageSetup horizontalDpi="300" verticalDpi="300" orientation="portrait" paperSize="9" r:id="rId2"/>
  <ignoredErrors>
    <ignoredError sqref="G27:J27" formulaRange="1"/>
  </ignoredErrors>
  <legacyDrawing r:id="rId1"/>
</worksheet>
</file>

<file path=xl/worksheets/sheet6.xml><?xml version="1.0" encoding="utf-8"?>
<worksheet xmlns="http://schemas.openxmlformats.org/spreadsheetml/2006/main" xmlns:r="http://schemas.openxmlformats.org/officeDocument/2006/relationships">
  <dimension ref="A1:AB70"/>
  <sheetViews>
    <sheetView workbookViewId="0" topLeftCell="A1">
      <selection activeCell="A1" sqref="A1"/>
    </sheetView>
  </sheetViews>
  <sheetFormatPr defaultColWidth="9.00390625" defaultRowHeight="13.5"/>
  <cols>
    <col min="1" max="1" width="2.625" style="0" customWidth="1"/>
    <col min="2" max="11" width="5.625" style="0" customWidth="1"/>
    <col min="12" max="13" width="2.625" style="0" customWidth="1"/>
    <col min="19" max="19" width="9.50390625" style="0" bestFit="1" customWidth="1"/>
    <col min="21" max="21" width="10.50390625" style="0" bestFit="1" customWidth="1"/>
    <col min="22" max="22" width="4.625" style="0" customWidth="1"/>
    <col min="25" max="28" width="12.125" style="0" customWidth="1"/>
    <col min="29" max="29" width="10.625" style="0" customWidth="1"/>
  </cols>
  <sheetData>
    <row r="1" spans="6:23" ht="24.75" thickBot="1">
      <c r="F1" s="990" t="s">
        <v>237</v>
      </c>
      <c r="G1" s="990"/>
      <c r="H1" s="990"/>
      <c r="I1" s="990"/>
      <c r="J1" s="990"/>
      <c r="K1" s="990"/>
      <c r="L1" s="990"/>
      <c r="M1" s="990"/>
      <c r="N1" s="990"/>
      <c r="O1" s="990"/>
      <c r="P1" s="990"/>
      <c r="W1" s="342"/>
    </row>
    <row r="2" spans="2:20" ht="14.25" thickBot="1">
      <c r="B2" s="1078" t="s">
        <v>223</v>
      </c>
      <c r="C2" s="1094"/>
      <c r="D2" s="2">
        <v>150</v>
      </c>
      <c r="E2" s="1"/>
      <c r="F2" s="3" t="s">
        <v>129</v>
      </c>
      <c r="G2" s="3" t="s">
        <v>238</v>
      </c>
      <c r="H2" s="3" t="s">
        <v>239</v>
      </c>
      <c r="I2" s="3" t="s">
        <v>1115</v>
      </c>
      <c r="J2" s="3" t="s">
        <v>1116</v>
      </c>
      <c r="K2" s="26" t="s">
        <v>430</v>
      </c>
      <c r="N2" s="991" t="s">
        <v>104</v>
      </c>
      <c r="O2" s="992"/>
      <c r="P2" s="987"/>
      <c r="R2" s="991" t="s">
        <v>418</v>
      </c>
      <c r="S2" s="992"/>
      <c r="T2" s="987"/>
    </row>
    <row r="3" spans="2:20" ht="14.25" thickBot="1">
      <c r="B3" s="5" t="s">
        <v>40</v>
      </c>
      <c r="C3" s="569"/>
      <c r="D3" s="6">
        <f>((D2-1)*5+IF(D2&gt;=120,35,IF(D2&gt;=70,30,25)))-(G3+H3+I3+J3)</f>
        <v>0</v>
      </c>
      <c r="E3" s="7" t="s">
        <v>41</v>
      </c>
      <c r="F3" s="8"/>
      <c r="G3" s="8">
        <v>20</v>
      </c>
      <c r="H3" s="8">
        <v>64</v>
      </c>
      <c r="I3" s="8">
        <v>4</v>
      </c>
      <c r="J3" s="8">
        <v>692</v>
      </c>
      <c r="K3" s="9"/>
      <c r="N3" s="10" t="s">
        <v>69</v>
      </c>
      <c r="O3" s="11" t="s">
        <v>70</v>
      </c>
      <c r="P3" s="12" t="s">
        <v>71</v>
      </c>
      <c r="R3" s="71" t="s">
        <v>69</v>
      </c>
      <c r="S3" s="72" t="s">
        <v>70</v>
      </c>
      <c r="T3" s="73" t="s">
        <v>71</v>
      </c>
    </row>
    <row r="4" spans="2:23" ht="14.25" thickBot="1">
      <c r="B4" s="1205" t="s">
        <v>141</v>
      </c>
      <c r="C4" s="1254"/>
      <c r="D4" s="1254"/>
      <c r="E4" s="7" t="s">
        <v>42</v>
      </c>
      <c r="F4" s="8">
        <v>123</v>
      </c>
      <c r="G4" s="8"/>
      <c r="H4" s="8"/>
      <c r="I4" s="8"/>
      <c r="J4" s="8">
        <v>14</v>
      </c>
      <c r="K4" s="9"/>
      <c r="N4" s="14">
        <f>P4*S64</f>
        <v>6404.1705</v>
      </c>
      <c r="O4" s="15">
        <f>(P4+N4)/2</f>
        <v>7776.49275</v>
      </c>
      <c r="P4" s="16">
        <f>$Q$4*($F$28+INT(($F$28-$F$25)*$E$31)+INT($F$28*($K$41+$K$50-1)))/100</f>
        <v>9148.815</v>
      </c>
      <c r="Q4" s="421">
        <f>1.3*(4*$J$28+$H$28+$G$28)</f>
        <v>4691.7</v>
      </c>
      <c r="R4" s="14">
        <f>N4*$G$47*(1-$G$44/100)</f>
        <v>4803.127875</v>
      </c>
      <c r="S4" s="15">
        <f>O4*$G$47*(1-$G$44/100)</f>
        <v>5832.3695625</v>
      </c>
      <c r="T4" s="16">
        <f>P4*$G$47*(1-$G$44/100)</f>
        <v>6861.61125</v>
      </c>
      <c r="W4" s="342"/>
    </row>
    <row r="5" spans="2:11" ht="14.25" thickBot="1">
      <c r="B5" s="23"/>
      <c r="C5" s="22"/>
      <c r="D5" s="22"/>
      <c r="E5" s="7" t="s">
        <v>44</v>
      </c>
      <c r="F5" s="8">
        <v>29</v>
      </c>
      <c r="G5" s="8">
        <v>7</v>
      </c>
      <c r="H5" s="8"/>
      <c r="I5" s="8"/>
      <c r="J5" s="8">
        <v>2</v>
      </c>
      <c r="K5" s="9"/>
    </row>
    <row r="6" spans="2:28" ht="14.25" thickBot="1">
      <c r="B6" s="1416" t="s">
        <v>191</v>
      </c>
      <c r="C6" s="1417"/>
      <c r="D6" s="703">
        <v>30</v>
      </c>
      <c r="E6" s="43" t="s">
        <v>45</v>
      </c>
      <c r="F6" s="8"/>
      <c r="G6" s="8">
        <v>10</v>
      </c>
      <c r="H6" s="8">
        <v>10</v>
      </c>
      <c r="I6" s="8">
        <v>10</v>
      </c>
      <c r="J6" s="8">
        <v>10</v>
      </c>
      <c r="K6" s="9">
        <v>10</v>
      </c>
      <c r="N6" s="977" t="s">
        <v>772</v>
      </c>
      <c r="O6" s="978"/>
      <c r="P6" s="978"/>
      <c r="Q6" s="978"/>
      <c r="R6" s="978"/>
      <c r="S6" s="978"/>
      <c r="T6" s="978"/>
      <c r="U6" s="979"/>
      <c r="W6" s="1397" t="s">
        <v>142</v>
      </c>
      <c r="X6" s="1398"/>
      <c r="Y6" s="1398"/>
      <c r="Z6" s="1398"/>
      <c r="AA6" s="1398"/>
      <c r="AB6" s="1399"/>
    </row>
    <row r="7" spans="2:28" ht="14.25" thickBot="1">
      <c r="B7" s="972" t="s">
        <v>654</v>
      </c>
      <c r="C7" s="973"/>
      <c r="D7" s="726">
        <v>30</v>
      </c>
      <c r="E7" s="43" t="s">
        <v>46</v>
      </c>
      <c r="F7" s="8"/>
      <c r="G7" s="8"/>
      <c r="H7" s="8">
        <v>7</v>
      </c>
      <c r="I7" s="8"/>
      <c r="J7" s="8"/>
      <c r="K7" s="9"/>
      <c r="N7" s="24" t="s">
        <v>408</v>
      </c>
      <c r="O7" s="84">
        <f>D7</f>
        <v>30</v>
      </c>
      <c r="P7" s="199" t="s">
        <v>51</v>
      </c>
      <c r="Q7" s="76">
        <f>(450+5*D7)/100</f>
        <v>6</v>
      </c>
      <c r="R7" s="187" t="s">
        <v>138</v>
      </c>
      <c r="S7" s="83">
        <f>IF(O7&gt;=21,4,IF(O7&gt;=11,3,2))</f>
        <v>4</v>
      </c>
      <c r="T7" s="198" t="s">
        <v>66</v>
      </c>
      <c r="U7" s="84">
        <v>48</v>
      </c>
      <c r="V7" s="842">
        <f>IF(D7&gt;0,(5+2*INT(D7/3))/100+1,1)</f>
        <v>1.25</v>
      </c>
      <c r="W7" s="977" t="s">
        <v>144</v>
      </c>
      <c r="X7" s="1404"/>
      <c r="Y7" s="101" t="s">
        <v>145</v>
      </c>
      <c r="Z7" s="102" t="s">
        <v>146</v>
      </c>
      <c r="AA7" s="102" t="s">
        <v>147</v>
      </c>
      <c r="AB7" s="103" t="s">
        <v>190</v>
      </c>
    </row>
    <row r="8" spans="2:28" ht="14.25" thickBot="1">
      <c r="B8" s="14" t="s">
        <v>978</v>
      </c>
      <c r="C8" s="15"/>
      <c r="D8" s="247">
        <v>1</v>
      </c>
      <c r="E8" s="43" t="s">
        <v>47</v>
      </c>
      <c r="F8" s="8">
        <v>2</v>
      </c>
      <c r="G8" s="8"/>
      <c r="H8" s="8">
        <v>2</v>
      </c>
      <c r="I8" s="8"/>
      <c r="J8" s="8"/>
      <c r="K8" s="9">
        <v>7</v>
      </c>
      <c r="N8" s="988" t="s">
        <v>107</v>
      </c>
      <c r="O8" s="77" t="s">
        <v>56</v>
      </c>
      <c r="P8" s="554">
        <f>MIN(INT(($R$4*Q7)*(1+$B$33+$E$33+$B$51)),ReadMe!$M$94)</f>
        <v>28818</v>
      </c>
      <c r="Q8" s="975" t="s">
        <v>406</v>
      </c>
      <c r="R8" s="194" t="s">
        <v>56</v>
      </c>
      <c r="S8" s="160">
        <f>MIN(INT(P8*$E$41),ReadMe!$M$94)</f>
        <v>34581</v>
      </c>
      <c r="T8" s="1432" t="s">
        <v>127</v>
      </c>
      <c r="U8" s="1408">
        <f>INT(P9*(1-$G$41)+S9*$G$41)</f>
        <v>35651</v>
      </c>
      <c r="W8" s="1400" t="s">
        <v>240</v>
      </c>
      <c r="X8" s="1401"/>
      <c r="Y8" s="104">
        <f>U41*Y19*G46+IF(A10="true",R62,0)</f>
        <v>6177507</v>
      </c>
      <c r="Z8" s="105"/>
      <c r="AA8" s="105"/>
      <c r="AB8" s="106"/>
    </row>
    <row r="9" spans="1:28" ht="13.5">
      <c r="A9" s="421" t="b">
        <v>1</v>
      </c>
      <c r="B9" s="1231" t="s">
        <v>924</v>
      </c>
      <c r="C9" s="1232"/>
      <c r="D9" s="9">
        <v>30</v>
      </c>
      <c r="E9" s="43" t="s">
        <v>48</v>
      </c>
      <c r="F9" s="8"/>
      <c r="G9" s="8">
        <v>7</v>
      </c>
      <c r="H9" s="8">
        <v>7</v>
      </c>
      <c r="I9" s="8">
        <v>7</v>
      </c>
      <c r="J9" s="8">
        <v>7</v>
      </c>
      <c r="K9" s="9"/>
      <c r="N9" s="1051"/>
      <c r="O9" s="44" t="s">
        <v>57</v>
      </c>
      <c r="P9" s="555">
        <f>INT((P8+P10)/2)</f>
        <v>34993</v>
      </c>
      <c r="Q9" s="1069"/>
      <c r="R9" s="80" t="s">
        <v>57</v>
      </c>
      <c r="S9" s="161">
        <f>INT((S8+S10)/2)</f>
        <v>48167</v>
      </c>
      <c r="T9" s="1433"/>
      <c r="U9" s="1409"/>
      <c r="W9" s="1402" t="s">
        <v>192</v>
      </c>
      <c r="X9" s="1403"/>
      <c r="Y9" s="107">
        <f>U32*Y20*G46+IF(A10="true",R62,0)</f>
        <v>8328696</v>
      </c>
      <c r="Z9" s="108"/>
      <c r="AA9" s="108"/>
      <c r="AB9" s="109"/>
    </row>
    <row r="10" spans="1:28" ht="14.25" thickBot="1">
      <c r="A10" s="421" t="str">
        <f>IF(A9=TRUE,"TRUE",IF(D10=1,"TRUE","FLASE"))</f>
        <v>TRUE</v>
      </c>
      <c r="B10" s="5" t="s">
        <v>925</v>
      </c>
      <c r="C10" s="69"/>
      <c r="D10" s="640"/>
      <c r="E10" s="7" t="s">
        <v>49</v>
      </c>
      <c r="F10" s="8"/>
      <c r="G10" s="8"/>
      <c r="H10" s="8">
        <v>10</v>
      </c>
      <c r="I10" s="8"/>
      <c r="J10" s="8"/>
      <c r="K10" s="9"/>
      <c r="N10" s="989"/>
      <c r="O10" s="15" t="s">
        <v>58</v>
      </c>
      <c r="P10" s="556">
        <f>MIN(INT(($T$4*Q7)*(1+$B$33+$E$33+$B$51)),ReadMe!$M$94)</f>
        <v>41169</v>
      </c>
      <c r="Q10" s="1070"/>
      <c r="R10" s="87" t="s">
        <v>58</v>
      </c>
      <c r="S10" s="162">
        <f>MIN(INT(P10*$F$41),ReadMe!$M$94)</f>
        <v>61753</v>
      </c>
      <c r="T10" s="1433"/>
      <c r="U10" s="1409"/>
      <c r="W10" s="1412" t="s">
        <v>193</v>
      </c>
      <c r="X10" s="1413"/>
      <c r="Y10" s="110">
        <f>U19*Z21*G46+IF(A10="true",R62,0)</f>
        <v>11429833.367875647</v>
      </c>
      <c r="Z10" s="111"/>
      <c r="AA10" s="111"/>
      <c r="AB10" s="112"/>
    </row>
    <row r="11" spans="2:28" ht="13.5">
      <c r="B11" s="1" t="s">
        <v>789</v>
      </c>
      <c r="C11" s="3"/>
      <c r="D11" s="142">
        <v>20</v>
      </c>
      <c r="E11" s="43" t="s">
        <v>390</v>
      </c>
      <c r="F11" s="8"/>
      <c r="G11" s="8"/>
      <c r="H11" s="8"/>
      <c r="I11" s="8"/>
      <c r="J11" s="8"/>
      <c r="K11" s="9"/>
      <c r="N11" s="988" t="s">
        <v>917</v>
      </c>
      <c r="O11" s="85" t="s">
        <v>56</v>
      </c>
      <c r="P11" s="188">
        <f>P8*2</f>
        <v>57636</v>
      </c>
      <c r="Q11" s="1434" t="s">
        <v>918</v>
      </c>
      <c r="R11" s="1435"/>
      <c r="S11" s="1436"/>
      <c r="T11" s="549" t="s">
        <v>56</v>
      </c>
      <c r="U11" s="560">
        <f>P11+INT(INT(P11*0.5)*(1+$E$33+$B$33))</f>
        <v>86454</v>
      </c>
      <c r="W11" s="1412" t="s">
        <v>194</v>
      </c>
      <c r="X11" s="1413"/>
      <c r="Y11" s="110">
        <f>U22*Z22*G46+IF(A10="true",R62,0)</f>
        <v>15928795.151515152</v>
      </c>
      <c r="Z11" s="111"/>
      <c r="AA11" s="111"/>
      <c r="AB11" s="112"/>
    </row>
    <row r="12" spans="2:28" ht="14.25" thickBot="1">
      <c r="B12" s="7" t="s">
        <v>790</v>
      </c>
      <c r="C12" s="44"/>
      <c r="D12" s="9">
        <v>20</v>
      </c>
      <c r="E12" s="43" t="s">
        <v>339</v>
      </c>
      <c r="F12" s="8"/>
      <c r="G12" s="8">
        <v>20</v>
      </c>
      <c r="H12" s="8">
        <v>1</v>
      </c>
      <c r="I12" s="8"/>
      <c r="J12" s="8"/>
      <c r="K12" s="9"/>
      <c r="N12" s="1051"/>
      <c r="O12" s="179" t="s">
        <v>140</v>
      </c>
      <c r="P12" s="705">
        <f>U8*2</f>
        <v>71302</v>
      </c>
      <c r="Q12" s="1437"/>
      <c r="R12" s="1438"/>
      <c r="S12" s="1439"/>
      <c r="T12" s="706" t="s">
        <v>140</v>
      </c>
      <c r="U12" s="741">
        <f>P12+INT(INT(P12*0.5)*(1+$E$33+$B$33))</f>
        <v>106953</v>
      </c>
      <c r="W12" s="1421" t="s">
        <v>195</v>
      </c>
      <c r="X12" s="1422"/>
      <c r="Y12" s="113">
        <f>U12*Y23*G46+IF(A10="true",R62,0)</f>
        <v>5902224</v>
      </c>
      <c r="Z12" s="113">
        <f>Y12*2</f>
        <v>11804448</v>
      </c>
      <c r="AA12" s="113">
        <f>Y12*3</f>
        <v>17706672</v>
      </c>
      <c r="AB12" s="114">
        <f>Y12*4</f>
        <v>23608896</v>
      </c>
    </row>
    <row r="13" spans="2:28" ht="14.25" customHeight="1" thickBot="1">
      <c r="B13" s="235" t="s">
        <v>791</v>
      </c>
      <c r="C13" s="44"/>
      <c r="D13" s="9">
        <v>30</v>
      </c>
      <c r="E13" s="43" t="s">
        <v>389</v>
      </c>
      <c r="F13" s="8"/>
      <c r="G13" s="8"/>
      <c r="H13" s="8">
        <v>13</v>
      </c>
      <c r="I13" s="8"/>
      <c r="J13" s="8">
        <v>5</v>
      </c>
      <c r="K13" s="9"/>
      <c r="N13" s="989"/>
      <c r="O13" s="95" t="s">
        <v>58</v>
      </c>
      <c r="P13" s="190">
        <f>S10*2</f>
        <v>123506</v>
      </c>
      <c r="Q13" s="1440"/>
      <c r="R13" s="1441"/>
      <c r="S13" s="1442"/>
      <c r="T13" s="293" t="s">
        <v>58</v>
      </c>
      <c r="U13" s="562">
        <f>P13+INT(INT(P13*0.5)*(1+$E$33+$B$33))</f>
        <v>185259</v>
      </c>
      <c r="W13" s="1405" t="s">
        <v>241</v>
      </c>
      <c r="X13" s="115" t="s">
        <v>196</v>
      </c>
      <c r="Y13" s="116">
        <f>(U12*Y24+U41*Y24)*G46+IF(A10="true",R62,0)</f>
        <v>7997604</v>
      </c>
      <c r="Z13" s="116">
        <f>(U12*Y24*2+U41*Y24)*G46+IF(A10="true",R62*2,0)</f>
        <v>13258110</v>
      </c>
      <c r="AA13" s="116">
        <f>(U12*Y24*3+U41*Y24)*G46+IF(A10="true",R62*3,0)</f>
        <v>18518616</v>
      </c>
      <c r="AB13" s="117">
        <f>(U12*Y24*4+U41*Y24)*G46+IF(A10="true",R62*4,0)</f>
        <v>23779122</v>
      </c>
    </row>
    <row r="14" spans="2:28" ht="14.25" thickBot="1">
      <c r="B14" s="7" t="s">
        <v>794</v>
      </c>
      <c r="C14" s="44"/>
      <c r="D14" s="9">
        <v>20</v>
      </c>
      <c r="E14" s="43" t="s">
        <v>59</v>
      </c>
      <c r="F14" s="8"/>
      <c r="G14" s="8"/>
      <c r="H14" s="8">
        <v>15</v>
      </c>
      <c r="I14" s="8"/>
      <c r="J14" s="8">
        <v>3</v>
      </c>
      <c r="K14" s="9">
        <v>1</v>
      </c>
      <c r="V14" s="421"/>
      <c r="W14" s="1406"/>
      <c r="X14" s="118" t="s">
        <v>242</v>
      </c>
      <c r="Y14" s="107">
        <f>(U12*Y25+U32*Y25)*G46+IF(A10="true",R62,0)</f>
        <v>9905889</v>
      </c>
      <c r="Z14" s="107">
        <f>(U12*Y25*2+U32*Y25)*G46+IF(A10="true",R62*2,0)</f>
        <v>14631630</v>
      </c>
      <c r="AA14" s="107">
        <f>(U12*Y25*3+U32*Y25)*G46+IF(A10="true",R62*3,0)</f>
        <v>19357371</v>
      </c>
      <c r="AB14" s="107">
        <f>(U12*Y25*4+U32*Y25)*G46+IF(A10="true",R62*4,0)</f>
        <v>24083112</v>
      </c>
    </row>
    <row r="15" spans="2:28" ht="14.25" thickBot="1">
      <c r="B15" s="14" t="s">
        <v>793</v>
      </c>
      <c r="C15" s="15"/>
      <c r="D15" s="247">
        <v>10</v>
      </c>
      <c r="E15" s="43" t="s">
        <v>60</v>
      </c>
      <c r="F15" s="8">
        <v>15</v>
      </c>
      <c r="G15" s="8"/>
      <c r="H15" s="8"/>
      <c r="I15" s="8"/>
      <c r="J15" s="8"/>
      <c r="K15" s="9"/>
      <c r="N15" s="977" t="s">
        <v>191</v>
      </c>
      <c r="O15" s="978"/>
      <c r="P15" s="978"/>
      <c r="Q15" s="978"/>
      <c r="R15" s="978"/>
      <c r="S15" s="978"/>
      <c r="T15" s="978"/>
      <c r="U15" s="979"/>
      <c r="V15" s="421"/>
      <c r="W15" s="1406"/>
      <c r="X15" s="843" t="s">
        <v>796</v>
      </c>
      <c r="Y15" s="110">
        <f>(U12*Z26+U19*Z26)*G46+IF(A10="true",R62,0)</f>
        <v>11278022.307692308</v>
      </c>
      <c r="Z15" s="110">
        <f>(U12*Z26*2+U19*Z26)*G46+IF(A10="true",R62*2,0)</f>
        <v>12663538.846153848</v>
      </c>
      <c r="AA15" s="110">
        <f>(U12*Z26*3+U19*Z26)*G46+IF(A10="true",R62*3,0)</f>
        <v>14049055.384615386</v>
      </c>
      <c r="AB15" s="119">
        <f>(U12*Z26*4+U19*Z26)*G46+IF(A10="true",R62*4,0)</f>
        <v>15434571.923076924</v>
      </c>
    </row>
    <row r="16" spans="2:28" ht="14.25" thickBot="1">
      <c r="B16" s="23"/>
      <c r="C16" s="22"/>
      <c r="D16" s="421">
        <f>(6*D15)/100</f>
        <v>0.6</v>
      </c>
      <c r="E16" s="7" t="s">
        <v>61</v>
      </c>
      <c r="F16" s="8">
        <v>4</v>
      </c>
      <c r="G16" s="8"/>
      <c r="H16" s="8">
        <v>8</v>
      </c>
      <c r="I16" s="8"/>
      <c r="J16" s="8"/>
      <c r="K16" s="9"/>
      <c r="N16" s="24" t="s">
        <v>408</v>
      </c>
      <c r="O16" s="84">
        <f>D6</f>
        <v>30</v>
      </c>
      <c r="P16" t="s">
        <v>51</v>
      </c>
      <c r="Q16" s="76">
        <f>((380+6*D6)/100)</f>
        <v>5.6</v>
      </c>
      <c r="R16" s="187" t="s">
        <v>773</v>
      </c>
      <c r="S16" s="83">
        <f>3+ROUNDUP(O16/7,0)</f>
        <v>8</v>
      </c>
      <c r="T16" s="535" t="s">
        <v>1174</v>
      </c>
      <c r="U16" s="438">
        <f>Q16*V16</f>
        <v>28</v>
      </c>
      <c r="V16" s="711">
        <f>IF(O17&gt;=8,5,IF(O17&gt;=6,4,IF(O17&gt;=4,3,IF(O17&gt;=2,2,1))))</f>
        <v>5</v>
      </c>
      <c r="W16" s="1407"/>
      <c r="X16" s="844" t="s">
        <v>797</v>
      </c>
      <c r="Y16" s="525">
        <f>(U11*Z27+U22*Z27)*G46+IF(A10="true",R62,0)</f>
        <v>15348232.112676056</v>
      </c>
      <c r="Z16" s="525">
        <f>(U11*Z27*2+U22*Z27)*G46+IF(A10="true",R62*1,0)</f>
        <v>15835296.90140845</v>
      </c>
      <c r="AA16" s="525">
        <f>(U11*Z27*3+U22*Z27)*G46+IF(A10="true",R62*3,0)</f>
        <v>17859321.690140843</v>
      </c>
      <c r="AB16" s="526">
        <f>(U11*Z27*4+U22*Z27)*G46+IF(A10="true",R62*4,0)</f>
        <v>19114866.478873238</v>
      </c>
    </row>
    <row r="17" spans="2:22" ht="14.25" thickBot="1">
      <c r="B17" s="23"/>
      <c r="C17" s="22"/>
      <c r="D17" s="143"/>
      <c r="E17" s="7" t="s">
        <v>1059</v>
      </c>
      <c r="F17" s="8"/>
      <c r="G17" s="8">
        <v>3</v>
      </c>
      <c r="H17" s="8">
        <v>3</v>
      </c>
      <c r="I17" s="8">
        <v>3</v>
      </c>
      <c r="J17" s="8">
        <v>3</v>
      </c>
      <c r="K17" s="9"/>
      <c r="N17" s="198" t="s">
        <v>774</v>
      </c>
      <c r="O17" s="332">
        <v>8</v>
      </c>
      <c r="P17" s="1425" t="s">
        <v>1173</v>
      </c>
      <c r="Q17" s="1426"/>
      <c r="R17" s="1426"/>
      <c r="S17" s="1426"/>
      <c r="T17" s="829"/>
      <c r="U17" s="830"/>
      <c r="V17" s="421">
        <f>IF(O21&gt;=8,5,IF(O21&gt;=6,4,IF(O21&gt;=4,3,IF(O21&gt;=2,2,1))))</f>
        <v>5</v>
      </c>
    </row>
    <row r="18" spans="2:25" ht="14.25" thickBot="1">
      <c r="B18" s="23"/>
      <c r="C18" s="22"/>
      <c r="D18" s="143"/>
      <c r="E18" s="7" t="s">
        <v>1059</v>
      </c>
      <c r="F18" s="8">
        <v>1</v>
      </c>
      <c r="G18" s="8">
        <v>1</v>
      </c>
      <c r="H18" s="8">
        <v>1</v>
      </c>
      <c r="I18" s="8">
        <v>1</v>
      </c>
      <c r="J18" s="8">
        <v>1</v>
      </c>
      <c r="K18" s="9"/>
      <c r="N18" s="988" t="s">
        <v>107</v>
      </c>
      <c r="O18" s="77" t="s">
        <v>56</v>
      </c>
      <c r="P18" s="214">
        <f>MIN(INT(($R$4*$Q$16)*(1+$B$33+$E$33+$B$51))*$V$16,ReadMe!$M$94)</f>
        <v>134485</v>
      </c>
      <c r="Q18" s="677" t="s">
        <v>921</v>
      </c>
      <c r="R18" s="335" t="s">
        <v>56</v>
      </c>
      <c r="S18" s="560">
        <f>INT(MIN(P18*(0.5*(1+$B$33+$E$33)*$V$16),ReadMe!$M$94))</f>
        <v>336212</v>
      </c>
      <c r="T18" s="720"/>
      <c r="U18" s="713">
        <f>INT((P18+S18)*3)</f>
        <v>1412091</v>
      </c>
      <c r="V18" s="421"/>
      <c r="W18" s="1270" t="s">
        <v>198</v>
      </c>
      <c r="X18" s="1196"/>
      <c r="Y18" s="839" t="s">
        <v>199</v>
      </c>
    </row>
    <row r="19" spans="2:25" ht="13.5" customHeight="1">
      <c r="B19" s="23"/>
      <c r="C19" s="22"/>
      <c r="D19" s="143"/>
      <c r="E19" s="7" t="s">
        <v>1059</v>
      </c>
      <c r="F19" s="8">
        <v>1</v>
      </c>
      <c r="G19" s="8">
        <v>1</v>
      </c>
      <c r="H19" s="8">
        <v>1</v>
      </c>
      <c r="I19" s="8">
        <v>1</v>
      </c>
      <c r="J19" s="8">
        <v>1</v>
      </c>
      <c r="K19" s="9"/>
      <c r="N19" s="1051"/>
      <c r="O19" s="44" t="s">
        <v>57</v>
      </c>
      <c r="P19" s="215">
        <f>INT((P18+P20)/2)</f>
        <v>163305</v>
      </c>
      <c r="Q19" s="678" t="s">
        <v>920</v>
      </c>
      <c r="R19" s="41" t="s">
        <v>57</v>
      </c>
      <c r="S19" s="561">
        <f>INT(MIN(P19*(0.5*(1+$B$33+$E$33)*$V$16),ReadMe!$M$94))</f>
        <v>408262</v>
      </c>
      <c r="T19" s="721" t="s">
        <v>805</v>
      </c>
      <c r="U19" s="719">
        <f>INT((P19+S19)*3)</f>
        <v>1714701</v>
      </c>
      <c r="W19" s="1410" t="s">
        <v>200</v>
      </c>
      <c r="X19" s="1411"/>
      <c r="Y19" s="838">
        <v>83</v>
      </c>
    </row>
    <row r="20" spans="2:25" ht="14.25" thickBot="1">
      <c r="B20" s="23"/>
      <c r="C20" s="22"/>
      <c r="D20" s="143"/>
      <c r="E20" s="7" t="s">
        <v>1059</v>
      </c>
      <c r="F20" s="8"/>
      <c r="G20" s="8"/>
      <c r="H20" s="8"/>
      <c r="I20" s="8"/>
      <c r="J20" s="8"/>
      <c r="K20" s="9"/>
      <c r="N20" s="999"/>
      <c r="O20" s="69" t="s">
        <v>58</v>
      </c>
      <c r="P20" s="216">
        <f>MIN(INT(($T$4*Q16)*(1+$B$33+$E$33+$B$51))*$V$16,ReadMe!$M$94)</f>
        <v>192125</v>
      </c>
      <c r="Q20" s="245"/>
      <c r="R20" s="55" t="s">
        <v>58</v>
      </c>
      <c r="S20" s="562">
        <f>INT(MIN(P20*(0.5*(1+$B$33+$E$33)*$V$16),ReadMe!$M$94))</f>
        <v>480312</v>
      </c>
      <c r="T20" s="722" t="s">
        <v>922</v>
      </c>
      <c r="U20" s="714">
        <f>INT((P20+S20)*3)</f>
        <v>2017311</v>
      </c>
      <c r="W20" s="1423" t="s">
        <v>201</v>
      </c>
      <c r="X20" s="1424"/>
      <c r="Y20" s="834">
        <v>54</v>
      </c>
    </row>
    <row r="21" spans="2:26" ht="14.25" thickBot="1">
      <c r="B21" s="23"/>
      <c r="C21" s="22"/>
      <c r="D21" s="143"/>
      <c r="E21" s="7" t="s">
        <v>970</v>
      </c>
      <c r="F21" s="8"/>
      <c r="G21" s="8">
        <v>2</v>
      </c>
      <c r="H21" s="8">
        <v>2</v>
      </c>
      <c r="I21" s="8">
        <v>2</v>
      </c>
      <c r="J21" s="8">
        <v>2</v>
      </c>
      <c r="K21" s="9"/>
      <c r="N21" s="831" t="s">
        <v>774</v>
      </c>
      <c r="O21" s="828">
        <f>O17+1</f>
        <v>9</v>
      </c>
      <c r="P21" s="1426" t="s">
        <v>1175</v>
      </c>
      <c r="Q21" s="1426"/>
      <c r="R21" s="1426"/>
      <c r="S21" s="1426"/>
      <c r="T21" s="829"/>
      <c r="U21" s="830"/>
      <c r="W21" s="1006" t="s">
        <v>193</v>
      </c>
      <c r="X21" s="1427"/>
      <c r="Y21" s="835">
        <f>INT(Z21)</f>
        <v>6</v>
      </c>
      <c r="Z21" s="837">
        <f>60/(1.65+O17)</f>
        <v>6.217616580310881</v>
      </c>
    </row>
    <row r="22" spans="2:26" ht="13.5">
      <c r="B22" s="23"/>
      <c r="C22" s="22"/>
      <c r="D22" s="143"/>
      <c r="E22" s="7" t="s">
        <v>972</v>
      </c>
      <c r="F22" s="8"/>
      <c r="G22" s="8">
        <v>3</v>
      </c>
      <c r="H22" s="8">
        <v>3</v>
      </c>
      <c r="I22" s="8">
        <v>3</v>
      </c>
      <c r="J22" s="8">
        <v>3</v>
      </c>
      <c r="K22" s="9"/>
      <c r="N22" s="1453" t="s">
        <v>919</v>
      </c>
      <c r="O22" s="712" t="s">
        <v>56</v>
      </c>
      <c r="P22" s="715">
        <f>MIN(INT(($R$4*$Q$16)*(1+$B$33+$E$33+$B$51)*$V$17*$E$41),ReadMe!$M$94)</f>
        <v>161385</v>
      </c>
      <c r="Q22" s="709" t="s">
        <v>776</v>
      </c>
      <c r="R22" s="716" t="s">
        <v>56</v>
      </c>
      <c r="S22" s="560">
        <f>INT(MIN(P22*(0.5*(1+$B$33+$E$33)*$V$17),ReadMe!$M$94))</f>
        <v>403462</v>
      </c>
      <c r="T22" s="1394" t="s">
        <v>407</v>
      </c>
      <c r="U22" s="1450">
        <f>U19+P23+S23</f>
        <v>2501452</v>
      </c>
      <c r="W22" s="1006" t="s">
        <v>194</v>
      </c>
      <c r="X22" s="1427"/>
      <c r="Y22" s="835">
        <f>INT(Z22)</f>
        <v>6</v>
      </c>
      <c r="Z22" s="837">
        <f>60/(1.9+O17)</f>
        <v>6.0606060606060606</v>
      </c>
    </row>
    <row r="23" spans="2:25" ht="14.25" thickBot="1">
      <c r="B23" s="23"/>
      <c r="C23" s="22"/>
      <c r="D23" s="143"/>
      <c r="E23" s="7" t="s">
        <v>1210</v>
      </c>
      <c r="F23" s="8"/>
      <c r="G23" s="8"/>
      <c r="H23" s="8"/>
      <c r="I23" s="8"/>
      <c r="J23" s="8"/>
      <c r="K23" s="9"/>
      <c r="N23" s="1454"/>
      <c r="O23" s="80" t="s">
        <v>57</v>
      </c>
      <c r="P23" s="161">
        <f>INT((P22+P24)/2)</f>
        <v>224786</v>
      </c>
      <c r="Q23" s="709" t="s">
        <v>920</v>
      </c>
      <c r="R23" s="717" t="s">
        <v>57</v>
      </c>
      <c r="S23" s="561">
        <f>INT(MIN(P23*(0.5*(1+$B$33+$E$33)*$V$17),ReadMe!$M$94))</f>
        <v>561965</v>
      </c>
      <c r="T23" s="1395"/>
      <c r="U23" s="1451"/>
      <c r="W23" s="1428" t="s">
        <v>244</v>
      </c>
      <c r="X23" s="1429"/>
      <c r="Y23" s="836">
        <v>48</v>
      </c>
    </row>
    <row r="24" spans="2:25" ht="13.5" customHeight="1" thickBot="1">
      <c r="B24" s="23"/>
      <c r="C24" s="22"/>
      <c r="D24" s="143"/>
      <c r="E24" s="7" t="s">
        <v>1061</v>
      </c>
      <c r="F24" s="8"/>
      <c r="G24" s="8"/>
      <c r="H24" s="8"/>
      <c r="I24" s="8"/>
      <c r="J24" s="8"/>
      <c r="K24" s="9"/>
      <c r="N24" s="1455"/>
      <c r="O24" s="87" t="s">
        <v>58</v>
      </c>
      <c r="P24" s="708">
        <f>MIN(INT(($T$4*Q16)*(1+$B$33+$E$33+$B$51)*$V$17*$F$41),ReadMe!$M$94)</f>
        <v>288187</v>
      </c>
      <c r="Q24" s="710"/>
      <c r="R24" s="718" t="s">
        <v>58</v>
      </c>
      <c r="S24" s="562">
        <f>INT(MIN(P24*(0.5*(1+$B$33+$E$33)*$V$17),ReadMe!$M$94))</f>
        <v>720467</v>
      </c>
      <c r="T24" s="1396"/>
      <c r="U24" s="1452"/>
      <c r="W24" s="1430" t="s">
        <v>245</v>
      </c>
      <c r="X24" s="832" t="s">
        <v>202</v>
      </c>
      <c r="Y24" s="527">
        <v>42</v>
      </c>
    </row>
    <row r="25" spans="2:26" ht="14.25" thickBot="1">
      <c r="B25" s="48"/>
      <c r="C25" s="520"/>
      <c r="D25" s="239"/>
      <c r="E25" s="7" t="s">
        <v>823</v>
      </c>
      <c r="F25" s="8">
        <v>20</v>
      </c>
      <c r="G25" s="8"/>
      <c r="H25" s="8"/>
      <c r="I25" s="8"/>
      <c r="J25" s="8"/>
      <c r="K25" s="9"/>
      <c r="N25" t="s">
        <v>923</v>
      </c>
      <c r="W25" s="1430"/>
      <c r="X25" s="833" t="s">
        <v>203</v>
      </c>
      <c r="Y25" s="528">
        <v>37</v>
      </c>
      <c r="Z25" s="711"/>
    </row>
    <row r="26" spans="2:26" ht="14.25" thickBot="1">
      <c r="B26" s="1245" t="s">
        <v>243</v>
      </c>
      <c r="C26" s="1246"/>
      <c r="D26" s="2">
        <v>9</v>
      </c>
      <c r="E26" s="235" t="s">
        <v>975</v>
      </c>
      <c r="F26" s="8"/>
      <c r="G26" s="41">
        <f>ROUNDDOWN(G3*D27%,0)</f>
        <v>1</v>
      </c>
      <c r="H26" s="41">
        <f>ROUNDDOWN(H3*D27%,0)</f>
        <v>3</v>
      </c>
      <c r="I26" s="41">
        <f>ROUNDDOWN(I3*D27%,0)</f>
        <v>0</v>
      </c>
      <c r="J26" s="41">
        <f>ROUNDDOWN(J3*D27%,0)</f>
        <v>34</v>
      </c>
      <c r="K26" s="9">
        <v>60</v>
      </c>
      <c r="N26" s="977" t="s">
        <v>143</v>
      </c>
      <c r="O26" s="978"/>
      <c r="P26" s="978"/>
      <c r="Q26" s="978"/>
      <c r="R26" s="978"/>
      <c r="S26" s="979"/>
      <c r="T26" s="99"/>
      <c r="U26" s="99"/>
      <c r="W26" s="1430"/>
      <c r="X26" s="843" t="s">
        <v>796</v>
      </c>
      <c r="Y26" s="529">
        <f>INT(Z26)</f>
        <v>5</v>
      </c>
      <c r="Z26" s="840">
        <f>60/(0.75+1.65+O17)</f>
        <v>5.769230769230769</v>
      </c>
    </row>
    <row r="27" spans="2:26" ht="14.25" thickBot="1">
      <c r="B27" s="14" t="s">
        <v>62</v>
      </c>
      <c r="C27" s="571"/>
      <c r="D27" s="47">
        <f>ROUNDUP(D26/2,0)</f>
        <v>5</v>
      </c>
      <c r="E27" s="7" t="s">
        <v>63</v>
      </c>
      <c r="F27" s="44">
        <f>D28</f>
        <v>0</v>
      </c>
      <c r="G27" s="44">
        <f>SUM(G4:G25)</f>
        <v>54</v>
      </c>
      <c r="H27" s="44">
        <f>SUM(H4:H25)</f>
        <v>83</v>
      </c>
      <c r="I27" s="44">
        <f>SUM(I4:I25)</f>
        <v>27</v>
      </c>
      <c r="J27" s="44">
        <f>SUM(J4:J25)</f>
        <v>51</v>
      </c>
      <c r="K27" s="45">
        <f>SUM(K3:K26)+D28</f>
        <v>78</v>
      </c>
      <c r="N27" s="24" t="s">
        <v>408</v>
      </c>
      <c r="O27" s="84">
        <f>D11</f>
        <v>20</v>
      </c>
      <c r="P27" s="199" t="s">
        <v>51</v>
      </c>
      <c r="Q27" s="704">
        <f>(230+3*O27)/100*V7</f>
        <v>3.625</v>
      </c>
      <c r="R27" s="198" t="s">
        <v>66</v>
      </c>
      <c r="S27" s="84">
        <f>Y20</f>
        <v>54</v>
      </c>
      <c r="W27" s="1431"/>
      <c r="X27" s="844" t="s">
        <v>797</v>
      </c>
      <c r="Y27" s="530">
        <f>INT(Z27)</f>
        <v>5</v>
      </c>
      <c r="Z27" s="840">
        <f>60/(0.75+1.9+O17)</f>
        <v>5.633802816901408</v>
      </c>
    </row>
    <row r="28" spans="2:21" ht="14.25" thickBot="1">
      <c r="B28" s="17" t="s">
        <v>1024</v>
      </c>
      <c r="C28" s="210"/>
      <c r="D28" s="332">
        <v>0</v>
      </c>
      <c r="E28" s="14" t="s">
        <v>55</v>
      </c>
      <c r="F28" s="49">
        <f>SUM(F4:F27)</f>
        <v>195</v>
      </c>
      <c r="G28" s="579">
        <f>INT((G3+G26+G27)*(1+G31))</f>
        <v>75</v>
      </c>
      <c r="H28" s="579">
        <f>INT((H3+H26+H27)*(1+H31))</f>
        <v>150</v>
      </c>
      <c r="I28" s="579">
        <f>INT((I3+I26+I27)*(1+I31))</f>
        <v>31</v>
      </c>
      <c r="J28" s="579">
        <f>INT((J3+J26+J27)*(1+J31))</f>
        <v>846</v>
      </c>
      <c r="K28" s="580">
        <f>($J$28+$H$28*1.2+K27)*(1+K31)</f>
        <v>1104</v>
      </c>
      <c r="N28" s="988" t="s">
        <v>131</v>
      </c>
      <c r="O28" s="77" t="s">
        <v>56</v>
      </c>
      <c r="P28" s="554">
        <f>MIN(INT(($N$4*Q27)*(1+$B$33+$E$33+$B$51)),ReadMe!$M$94)</f>
        <v>23215</v>
      </c>
      <c r="Q28" s="975" t="s">
        <v>406</v>
      </c>
      <c r="R28" s="194" t="s">
        <v>56</v>
      </c>
      <c r="S28" s="160">
        <f>MIN(INT(P28*$E$41),ReadMe!$M$94)</f>
        <v>27858</v>
      </c>
      <c r="T28" s="1432" t="s">
        <v>127</v>
      </c>
      <c r="U28" s="1408">
        <f>INT(P29*(1-$G$41)+S29*$G$41)</f>
        <v>28719</v>
      </c>
    </row>
    <row r="29" spans="2:21" ht="14.25" thickBot="1">
      <c r="B29" s="1068" t="s">
        <v>645</v>
      </c>
      <c r="C29" s="1036"/>
      <c r="D29" s="1036"/>
      <c r="E29" s="1036"/>
      <c r="F29" s="1036"/>
      <c r="G29" s="1036"/>
      <c r="H29" s="1036"/>
      <c r="I29" s="1036"/>
      <c r="J29" s="1036"/>
      <c r="K29" s="1037"/>
      <c r="N29" s="1051"/>
      <c r="O29" s="44" t="s">
        <v>57</v>
      </c>
      <c r="P29" s="555">
        <f>INT((P28+P30)/2)</f>
        <v>28189</v>
      </c>
      <c r="Q29" s="1069"/>
      <c r="R29" s="80" t="s">
        <v>57</v>
      </c>
      <c r="S29" s="161">
        <f>INT((S28+S30)/2)</f>
        <v>38802</v>
      </c>
      <c r="T29" s="1433"/>
      <c r="U29" s="1409"/>
    </row>
    <row r="30" spans="2:21" ht="14.25" customHeight="1" thickBot="1">
      <c r="B30" s="1085" t="s">
        <v>443</v>
      </c>
      <c r="C30" s="1086"/>
      <c r="D30" s="1087"/>
      <c r="E30" s="1038" t="s">
        <v>646</v>
      </c>
      <c r="F30" s="1039"/>
      <c r="G30" s="1" t="s">
        <v>650</v>
      </c>
      <c r="H30" s="3" t="s">
        <v>649</v>
      </c>
      <c r="I30" s="3" t="s">
        <v>648</v>
      </c>
      <c r="J30" s="3" t="s">
        <v>647</v>
      </c>
      <c r="K30" s="4" t="s">
        <v>651</v>
      </c>
      <c r="N30" s="989"/>
      <c r="O30" s="15" t="s">
        <v>58</v>
      </c>
      <c r="P30" s="556">
        <f>MIN(INT(($P$4*Q27)*(1+$B$33+$E$33+$B$51)),ReadMe!$M$94)</f>
        <v>33164</v>
      </c>
      <c r="Q30" s="1070"/>
      <c r="R30" s="87" t="s">
        <v>58</v>
      </c>
      <c r="S30" s="162">
        <f>MIN(INT(P30*$F$41),ReadMe!$M$94)</f>
        <v>49746</v>
      </c>
      <c r="T30" s="1443"/>
      <c r="U30" s="1409"/>
    </row>
    <row r="31" spans="2:21" ht="14.25" thickBot="1">
      <c r="B31" s="1091">
        <v>0</v>
      </c>
      <c r="C31" s="1132"/>
      <c r="D31" s="1093"/>
      <c r="E31" s="1040">
        <v>0</v>
      </c>
      <c r="F31" s="1032"/>
      <c r="G31" s="575">
        <v>0</v>
      </c>
      <c r="H31" s="576">
        <v>0</v>
      </c>
      <c r="I31" s="576">
        <v>0</v>
      </c>
      <c r="J31" s="576">
        <v>0.09</v>
      </c>
      <c r="K31" s="577">
        <v>0</v>
      </c>
      <c r="N31" s="1023" t="s">
        <v>805</v>
      </c>
      <c r="O31" s="85" t="s">
        <v>56</v>
      </c>
      <c r="P31" s="827">
        <f>P28*3</f>
        <v>69645</v>
      </c>
      <c r="Q31" s="1434" t="s">
        <v>918</v>
      </c>
      <c r="R31" s="1435"/>
      <c r="S31" s="1436"/>
      <c r="T31" s="549" t="s">
        <v>56</v>
      </c>
      <c r="U31" s="560">
        <f>P31+INT(INT(P31*0.5)*(1+$E$33+$B$33+($V$7-1)))</f>
        <v>113172</v>
      </c>
    </row>
    <row r="32" spans="2:21" ht="14.25" customHeight="1">
      <c r="B32" s="1088" t="s">
        <v>1170</v>
      </c>
      <c r="C32" s="1089"/>
      <c r="D32" s="1090"/>
      <c r="E32" s="984" t="s">
        <v>551</v>
      </c>
      <c r="F32" s="976"/>
      <c r="N32" s="1334"/>
      <c r="O32" s="179" t="s">
        <v>140</v>
      </c>
      <c r="P32" s="272">
        <f>U28*3</f>
        <v>86157</v>
      </c>
      <c r="Q32" s="1437"/>
      <c r="R32" s="1438"/>
      <c r="S32" s="1439"/>
      <c r="T32" s="706" t="s">
        <v>140</v>
      </c>
      <c r="U32" s="741">
        <f>P32+INT(INT(P32*0.5)*(1+$E$33+$B$33+($V$7-1)))</f>
        <v>140004</v>
      </c>
    </row>
    <row r="33" spans="2:21" ht="14.25" customHeight="1" thickBot="1">
      <c r="B33" s="1091">
        <v>0</v>
      </c>
      <c r="C33" s="1092"/>
      <c r="D33" s="1093"/>
      <c r="E33" s="1040">
        <v>0</v>
      </c>
      <c r="F33" s="1032"/>
      <c r="N33" s="1276"/>
      <c r="O33" s="95" t="s">
        <v>133</v>
      </c>
      <c r="P33" s="159">
        <f>S30*3</f>
        <v>149238</v>
      </c>
      <c r="Q33" s="1440"/>
      <c r="R33" s="1441"/>
      <c r="S33" s="1442"/>
      <c r="T33" s="293" t="s">
        <v>58</v>
      </c>
      <c r="U33" s="562">
        <f>P33+INT(INT(P33*0.5)*(1+$E$33+$B$33+($V$7-1)))</f>
        <v>242511</v>
      </c>
    </row>
    <row r="34" ht="14.25" customHeight="1" thickBot="1"/>
    <row r="35" spans="2:21" ht="14.25" customHeight="1" thickBot="1">
      <c r="B35" s="1047" t="s">
        <v>1120</v>
      </c>
      <c r="C35" s="1048"/>
      <c r="D35" s="1048"/>
      <c r="E35" s="535" t="s">
        <v>56</v>
      </c>
      <c r="F35" s="19" t="s">
        <v>58</v>
      </c>
      <c r="G35" s="536" t="s">
        <v>750</v>
      </c>
      <c r="I35" s="1041" t="s">
        <v>218</v>
      </c>
      <c r="J35" s="1042"/>
      <c r="K35" s="1043"/>
      <c r="N35" s="977" t="s">
        <v>779</v>
      </c>
      <c r="O35" s="978"/>
      <c r="P35" s="978"/>
      <c r="Q35" s="978"/>
      <c r="R35" s="978"/>
      <c r="S35" s="979"/>
      <c r="T35" s="99"/>
      <c r="U35" s="99"/>
    </row>
    <row r="36" spans="2:19" ht="14.25" customHeight="1" thickBot="1">
      <c r="B36" s="1133" t="s">
        <v>1122</v>
      </c>
      <c r="C36" s="1134"/>
      <c r="D36" s="1135"/>
      <c r="E36" s="36">
        <v>1.2</v>
      </c>
      <c r="F36" s="539">
        <v>1.5</v>
      </c>
      <c r="G36" s="260">
        <v>0.05</v>
      </c>
      <c r="I36" s="1041" t="s">
        <v>220</v>
      </c>
      <c r="J36" s="1053"/>
      <c r="K36" s="1054"/>
      <c r="N36" s="24" t="s">
        <v>408</v>
      </c>
      <c r="O36" s="84">
        <f>D13</f>
        <v>30</v>
      </c>
      <c r="P36" s="199" t="s">
        <v>51</v>
      </c>
      <c r="Q36" s="704">
        <f>(60+O36)/100*V7</f>
        <v>1.125</v>
      </c>
      <c r="R36" s="198" t="s">
        <v>66</v>
      </c>
      <c r="S36" s="84">
        <v>83</v>
      </c>
    </row>
    <row r="37" spans="2:21" ht="14.25" customHeight="1" thickBot="1">
      <c r="B37" s="1051" t="s">
        <v>1117</v>
      </c>
      <c r="C37" s="1052"/>
      <c r="D37" s="548">
        <v>0</v>
      </c>
      <c r="E37" s="538"/>
      <c r="F37" s="537">
        <f>D37/100</f>
        <v>0</v>
      </c>
      <c r="G37" s="543">
        <f>IF(D37=0,0,(5+ROUNDUP(D37/2,0))/100)</f>
        <v>0</v>
      </c>
      <c r="I37" s="871" t="s">
        <v>217</v>
      </c>
      <c r="J37" s="224"/>
      <c r="K37" s="247">
        <v>0</v>
      </c>
      <c r="N37" s="988" t="s">
        <v>107</v>
      </c>
      <c r="O37" s="77" t="s">
        <v>56</v>
      </c>
      <c r="P37" s="554">
        <f>MIN(INT(($R$4*Q36)*(1+$B$33+$E$33+$B$51)),ReadMe!$M$94)</f>
        <v>5403</v>
      </c>
      <c r="Q37" s="975" t="s">
        <v>406</v>
      </c>
      <c r="R37" s="194" t="s">
        <v>56</v>
      </c>
      <c r="S37" s="160">
        <f>MIN(INT(P37*$E$41),ReadMe!$M$94)</f>
        <v>6483</v>
      </c>
      <c r="T37" s="1432" t="s">
        <v>127</v>
      </c>
      <c r="U37" s="1408">
        <f>INT(P38*(1-$G$41)+S38*$G$41)</f>
        <v>6684</v>
      </c>
    </row>
    <row r="38" spans="2:23" ht="14.25" customHeight="1" thickBot="1">
      <c r="B38" s="1051" t="s">
        <v>1118</v>
      </c>
      <c r="C38" s="1052"/>
      <c r="D38" s="548">
        <v>0</v>
      </c>
      <c r="E38" s="538">
        <f>D38/100</f>
        <v>0</v>
      </c>
      <c r="F38" s="537"/>
      <c r="G38" s="543">
        <f>IF(D38=0,0,(5+ROUNDUP(D38/2,0))/100)</f>
        <v>0</v>
      </c>
      <c r="N38" s="1051"/>
      <c r="O38" s="44" t="s">
        <v>57</v>
      </c>
      <c r="P38" s="555">
        <f>INT((P37+P39)/2)</f>
        <v>6561</v>
      </c>
      <c r="Q38" s="1069"/>
      <c r="R38" s="80" t="s">
        <v>57</v>
      </c>
      <c r="S38" s="161">
        <f>INT((S37+S39)/2)</f>
        <v>9030</v>
      </c>
      <c r="T38" s="1433"/>
      <c r="U38" s="1409"/>
      <c r="W38" s="384"/>
    </row>
    <row r="39" spans="1:21" ht="14.25" customHeight="1" thickBot="1">
      <c r="A39" s="421" t="b">
        <v>0</v>
      </c>
      <c r="B39" s="1051" t="s">
        <v>1119</v>
      </c>
      <c r="C39" s="1052"/>
      <c r="D39" s="544"/>
      <c r="E39" s="538"/>
      <c r="F39" s="537">
        <f>IF(H39="true",0.15,0)</f>
        <v>0</v>
      </c>
      <c r="G39" s="543">
        <f>IF(H39="true",0.1,0)</f>
        <v>0</v>
      </c>
      <c r="H39" s="421" t="str">
        <f>IF(A39=TRUE,"TRUE",IF(D39=1,"TRUE","FLASE"))</f>
        <v>FLASE</v>
      </c>
      <c r="I39" s="1058" t="s">
        <v>1163</v>
      </c>
      <c r="J39" s="1059"/>
      <c r="K39" s="896"/>
      <c r="L39" s="421" t="b">
        <v>0</v>
      </c>
      <c r="M39" s="514" t="str">
        <f>IF(L39=TRUE,"TRUE",IF(K39=1,"TRUE","FLASE"))</f>
        <v>FLASE</v>
      </c>
      <c r="N39" s="989"/>
      <c r="O39" s="15" t="s">
        <v>58</v>
      </c>
      <c r="P39" s="556">
        <f>MIN(INT(($T$4*Q36)*(1+$B$33+$E$33+$B$51)),ReadMe!$M$94)</f>
        <v>7719</v>
      </c>
      <c r="Q39" s="1070"/>
      <c r="R39" s="87" t="s">
        <v>58</v>
      </c>
      <c r="S39" s="162">
        <f>MIN(INT(P39*$F$41),ReadMe!$M$94)</f>
        <v>11578</v>
      </c>
      <c r="T39" s="1433"/>
      <c r="U39" s="1409"/>
    </row>
    <row r="40" spans="2:21" ht="14.25" customHeight="1" thickBot="1">
      <c r="B40" s="1055" t="s">
        <v>1121</v>
      </c>
      <c r="C40" s="1056"/>
      <c r="D40" s="1057"/>
      <c r="E40" s="545">
        <v>0</v>
      </c>
      <c r="F40" s="546">
        <v>0</v>
      </c>
      <c r="G40" s="547">
        <v>0</v>
      </c>
      <c r="I40" s="637" t="s">
        <v>787</v>
      </c>
      <c r="J40" s="893"/>
      <c r="K40" s="894">
        <v>0</v>
      </c>
      <c r="N40" s="1023" t="s">
        <v>1025</v>
      </c>
      <c r="O40" s="85" t="s">
        <v>56</v>
      </c>
      <c r="P40" s="827">
        <f>P37*6</f>
        <v>32418</v>
      </c>
      <c r="Q40" s="723"/>
      <c r="R40" s="724"/>
      <c r="S40" s="725"/>
      <c r="T40" s="549" t="s">
        <v>56</v>
      </c>
      <c r="U40" s="560">
        <f>P40+INT(INT(P40*0.5)*(1+$E$33+$B$33+($V$7-1)))</f>
        <v>52679</v>
      </c>
    </row>
    <row r="41" spans="2:21" ht="14.25" thickBot="1">
      <c r="B41" s="1044" t="s">
        <v>1123</v>
      </c>
      <c r="C41" s="1045"/>
      <c r="D41" s="1046"/>
      <c r="E41" s="540">
        <f>E36+MAX(E38,E39)+E40</f>
        <v>1.2</v>
      </c>
      <c r="F41" s="541">
        <f>F36+MAX(F37,F39)+F40</f>
        <v>1.5</v>
      </c>
      <c r="G41" s="542">
        <f>G36+MAX(G37,G38,G39)+G40</f>
        <v>0.05</v>
      </c>
      <c r="I41" s="1060" t="s">
        <v>530</v>
      </c>
      <c r="J41" s="1061"/>
      <c r="K41" s="895">
        <f>IF(M39="true",IF(K40&gt;0,10+ROUNDUP(K40/3,0),11)/100,0)</f>
        <v>0</v>
      </c>
      <c r="L41" s="342"/>
      <c r="M41" s="342"/>
      <c r="N41" s="1334"/>
      <c r="O41" s="179" t="s">
        <v>140</v>
      </c>
      <c r="P41" s="272">
        <f>U37*6</f>
        <v>40104</v>
      </c>
      <c r="Q41" s="1444" t="s">
        <v>918</v>
      </c>
      <c r="R41" s="1445"/>
      <c r="S41" s="1446"/>
      <c r="T41" s="706" t="s">
        <v>140</v>
      </c>
      <c r="U41" s="741">
        <f>P41+INT(INT(P41*0.5)*(1+$E$33+$B$33+($V$7-1)))</f>
        <v>65169</v>
      </c>
    </row>
    <row r="42" spans="2:21" ht="14.25" thickBot="1">
      <c r="B42" s="1136" t="s">
        <v>135</v>
      </c>
      <c r="C42" s="1137"/>
      <c r="D42" s="1138"/>
      <c r="E42" s="1011">
        <f>(($E$41+$F$41)/2-1)*$G$41+1</f>
        <v>1.0175</v>
      </c>
      <c r="F42" s="1012"/>
      <c r="G42" s="1005"/>
      <c r="N42" s="1276"/>
      <c r="O42" s="95" t="s">
        <v>133</v>
      </c>
      <c r="P42" s="159">
        <f>S39*6</f>
        <v>69468</v>
      </c>
      <c r="Q42" s="1447"/>
      <c r="R42" s="1448"/>
      <c r="S42" s="1449"/>
      <c r="T42" s="293" t="s">
        <v>58</v>
      </c>
      <c r="U42" s="562">
        <f>P42+INT(INT(P42*0.5)*(1+$E$33+$B$33+($V$7-1)))</f>
        <v>112885</v>
      </c>
    </row>
    <row r="43" spans="9:11" ht="14.25" thickBot="1">
      <c r="I43" s="1075" t="s">
        <v>1188</v>
      </c>
      <c r="J43" s="1076"/>
      <c r="K43" s="1077"/>
    </row>
    <row r="44" spans="2:21" ht="14.25" thickBot="1">
      <c r="B44" s="1049" t="s">
        <v>416</v>
      </c>
      <c r="C44" s="1050"/>
      <c r="D44" s="566">
        <v>125</v>
      </c>
      <c r="E44" s="1147" t="s">
        <v>417</v>
      </c>
      <c r="F44" s="1148"/>
      <c r="G44" s="26">
        <f>IF(D2&gt;D44,0,$D$44-$D$2)</f>
        <v>0</v>
      </c>
      <c r="I44" s="439" t="s">
        <v>1189</v>
      </c>
      <c r="J44" s="572"/>
      <c r="K44" s="223">
        <v>0</v>
      </c>
      <c r="L44" s="342"/>
      <c r="M44" s="342"/>
      <c r="N44" s="977" t="s">
        <v>777</v>
      </c>
      <c r="O44" s="978"/>
      <c r="P44" s="978"/>
      <c r="Q44" s="978"/>
      <c r="R44" s="978"/>
      <c r="S44" s="979"/>
      <c r="T44" s="99"/>
      <c r="U44" s="99"/>
    </row>
    <row r="45" spans="2:19" ht="14.25" thickBot="1">
      <c r="B45" s="1006" t="s">
        <v>450</v>
      </c>
      <c r="C45" s="1007"/>
      <c r="D45" s="9">
        <v>12</v>
      </c>
      <c r="E45" s="1006" t="s">
        <v>452</v>
      </c>
      <c r="F45" s="1007"/>
      <c r="G45" s="665">
        <f>IF(G44&gt;0,"-",D45)</f>
        <v>12</v>
      </c>
      <c r="I45" s="440" t="s">
        <v>1190</v>
      </c>
      <c r="J45" s="573"/>
      <c r="K45" s="441">
        <f>IF(K44&gt;0,(K44+10)/100,0)</f>
        <v>0</v>
      </c>
      <c r="N45" s="24" t="s">
        <v>408</v>
      </c>
      <c r="O45" s="84">
        <f>D12</f>
        <v>20</v>
      </c>
      <c r="P45" s="199" t="s">
        <v>51</v>
      </c>
      <c r="Q45" s="704">
        <f>(315+4*O45)/100*V7</f>
        <v>4.9375</v>
      </c>
      <c r="R45" s="198" t="s">
        <v>778</v>
      </c>
      <c r="S45" s="84">
        <v>6</v>
      </c>
    </row>
    <row r="46" spans="2:21" ht="14.25" thickBot="1">
      <c r="B46" s="997" t="s">
        <v>415</v>
      </c>
      <c r="C46" s="998"/>
      <c r="D46" s="9">
        <v>0</v>
      </c>
      <c r="E46" s="1006" t="s">
        <v>451</v>
      </c>
      <c r="F46" s="1007"/>
      <c r="G46" s="543">
        <f>MAX((MIN(100+SQRT($K$28)-SQRT($D$45),100)-5*G44)/100,0)</f>
        <v>1</v>
      </c>
      <c r="N46" s="988" t="s">
        <v>107</v>
      </c>
      <c r="O46" s="77" t="s">
        <v>56</v>
      </c>
      <c r="P46" s="554">
        <f>MIN(INT(($R$4*Q45)*(1+$B$33+$E$33+$B$51)),ReadMe!$M$94)</f>
        <v>23715</v>
      </c>
      <c r="Q46" s="975" t="s">
        <v>406</v>
      </c>
      <c r="R46" s="194" t="s">
        <v>56</v>
      </c>
      <c r="S46" s="823">
        <f>MIN(INT(P46*$E$41),ReadMe!$M$94)</f>
        <v>28458</v>
      </c>
      <c r="T46" s="1460" t="s">
        <v>127</v>
      </c>
      <c r="U46" s="1462">
        <f>INT(P47*(1-$G$41)+S47*$G$41)</f>
        <v>29339</v>
      </c>
    </row>
    <row r="47" spans="2:22" ht="14.25" thickBot="1">
      <c r="B47" s="1008" t="s">
        <v>642</v>
      </c>
      <c r="C47" s="1009"/>
      <c r="D47" s="567">
        <v>0.25</v>
      </c>
      <c r="E47" s="1145" t="s">
        <v>643</v>
      </c>
      <c r="F47" s="1146"/>
      <c r="G47" s="29">
        <f>1-(D47*(1-K45))</f>
        <v>0.75</v>
      </c>
      <c r="I47" s="1003" t="s">
        <v>1110</v>
      </c>
      <c r="J47" s="1004"/>
      <c r="K47" s="996"/>
      <c r="L47" s="342"/>
      <c r="M47" s="168"/>
      <c r="N47" s="1051"/>
      <c r="O47" s="44" t="s">
        <v>57</v>
      </c>
      <c r="P47" s="555">
        <f>INT((P46+P48)/2)</f>
        <v>28797</v>
      </c>
      <c r="Q47" s="1069"/>
      <c r="R47" s="80" t="s">
        <v>57</v>
      </c>
      <c r="S47" s="824">
        <f>INT((S46+S48)/2)</f>
        <v>39638</v>
      </c>
      <c r="T47" s="1461"/>
      <c r="U47" s="1463"/>
      <c r="V47" s="337"/>
    </row>
    <row r="48" spans="4:21" ht="14.25" thickBot="1">
      <c r="D48" s="421">
        <f>$D$46*(1-($K$45+$B$31))</f>
        <v>0</v>
      </c>
      <c r="I48" s="1083" t="s">
        <v>652</v>
      </c>
      <c r="J48" s="1084"/>
      <c r="K48" s="493"/>
      <c r="L48" s="514" t="b">
        <v>0</v>
      </c>
      <c r="M48" s="514" t="str">
        <f>IF(L48=TRUE,"TRUE",IF(K48=1,"TRUE","FLASE"))</f>
        <v>FLASE</v>
      </c>
      <c r="N48" s="989"/>
      <c r="O48" s="15" t="s">
        <v>58</v>
      </c>
      <c r="P48" s="556">
        <f>MIN(INT(($T$4*Q45)*(1+$B$33+$E$33+$B$51)),ReadMe!$M$94)</f>
        <v>33879</v>
      </c>
      <c r="Q48" s="1070"/>
      <c r="R48" s="87" t="s">
        <v>58</v>
      </c>
      <c r="S48" s="825">
        <f>MIN(INT(P48*$F$41),ReadMe!$M$94)</f>
        <v>50818</v>
      </c>
      <c r="T48" s="826" t="s">
        <v>552</v>
      </c>
      <c r="U48" s="841">
        <f>U46+INT(INT(U46*0.5)*(1+$E$33+$B$33+($V$7-1)))</f>
        <v>47675</v>
      </c>
    </row>
    <row r="49" spans="2:13" ht="14.25" customHeight="1" thickBot="1">
      <c r="B49" s="1078" t="s">
        <v>749</v>
      </c>
      <c r="C49" s="1079"/>
      <c r="D49" s="1080"/>
      <c r="I49" s="994" t="s">
        <v>653</v>
      </c>
      <c r="J49" s="995"/>
      <c r="K49" s="494"/>
      <c r="L49" s="514" t="b">
        <v>0</v>
      </c>
      <c r="M49" s="514" t="str">
        <f>IF(L49=TRUE,"TRUE",IF(K49=1,"TRUE","FLASE"))</f>
        <v>FLASE</v>
      </c>
    </row>
    <row r="50" spans="2:21" ht="14.25" customHeight="1" thickBot="1">
      <c r="B50" s="999" t="s">
        <v>551</v>
      </c>
      <c r="C50" s="1000"/>
      <c r="D50" s="1001"/>
      <c r="I50" s="1002" t="s">
        <v>530</v>
      </c>
      <c r="J50" s="993"/>
      <c r="K50" s="225">
        <f>IF(M48="TRUE",1.04,IF(M49="TRUE",1.02,1))</f>
        <v>1</v>
      </c>
      <c r="L50" s="352"/>
      <c r="M50" s="352"/>
      <c r="N50" s="977" t="s">
        <v>792</v>
      </c>
      <c r="O50" s="978"/>
      <c r="P50" s="978"/>
      <c r="Q50" s="978"/>
      <c r="R50" s="978"/>
      <c r="S50" s="979"/>
      <c r="T50" s="99"/>
      <c r="U50" s="99"/>
    </row>
    <row r="51" spans="2:19" ht="14.25" customHeight="1" thickBot="1">
      <c r="B51" s="1142">
        <v>0</v>
      </c>
      <c r="C51" s="1143"/>
      <c r="D51" s="1144"/>
      <c r="N51" s="24" t="s">
        <v>408</v>
      </c>
      <c r="O51" s="84">
        <f>D14</f>
        <v>20</v>
      </c>
      <c r="P51" s="199" t="s">
        <v>51</v>
      </c>
      <c r="Q51" s="76">
        <f>(100+4*O51)/100+D16</f>
        <v>2.4</v>
      </c>
      <c r="R51" s="198" t="s">
        <v>795</v>
      </c>
      <c r="S51" s="84">
        <f>5+INT(O51/2)</f>
        <v>15</v>
      </c>
    </row>
    <row r="52" spans="14:21" ht="14.25" customHeight="1" thickBot="1">
      <c r="N52" s="988" t="s">
        <v>107</v>
      </c>
      <c r="O52" s="77" t="s">
        <v>56</v>
      </c>
      <c r="P52" s="554">
        <f>MIN(INT(($R$4*Q51)*(1+$B$33+$E$33+$B$51)),ReadMe!$M$94)</f>
        <v>11527</v>
      </c>
      <c r="Q52" s="975" t="s">
        <v>406</v>
      </c>
      <c r="R52" s="194" t="s">
        <v>56</v>
      </c>
      <c r="S52" s="160">
        <f>MIN(INT(P52*$E$41),ReadMe!$M$94)</f>
        <v>13832</v>
      </c>
      <c r="T52" s="1456" t="s">
        <v>127</v>
      </c>
      <c r="U52" s="1408">
        <f>INT(P53*(1-$G$41)+S53*$G$41)</f>
        <v>14260</v>
      </c>
    </row>
    <row r="53" spans="2:21" ht="14.25" customHeight="1" thickBot="1">
      <c r="B53" s="1023" t="s">
        <v>64</v>
      </c>
      <c r="C53" s="1024"/>
      <c r="D53" s="1024"/>
      <c r="E53" s="1024"/>
      <c r="F53" s="1024"/>
      <c r="G53" s="1024"/>
      <c r="H53" s="1024"/>
      <c r="I53" s="1024"/>
      <c r="J53" s="1024"/>
      <c r="K53" s="1024"/>
      <c r="L53" s="1025"/>
      <c r="N53" s="1051"/>
      <c r="O53" s="44" t="s">
        <v>57</v>
      </c>
      <c r="P53" s="555">
        <f>INT((P52+P54)/2)</f>
        <v>13997</v>
      </c>
      <c r="Q53" s="1069"/>
      <c r="R53" s="80" t="s">
        <v>57</v>
      </c>
      <c r="S53" s="161">
        <f>INT((S52+S54)/2)</f>
        <v>19266</v>
      </c>
      <c r="T53" s="1457"/>
      <c r="U53" s="1409"/>
    </row>
    <row r="54" spans="2:21" ht="14.25" customHeight="1" thickBot="1">
      <c r="B54" s="1018" t="s">
        <v>197</v>
      </c>
      <c r="C54" s="1020"/>
      <c r="D54" s="1020"/>
      <c r="E54" s="1020"/>
      <c r="F54" s="1020"/>
      <c r="G54" s="1020"/>
      <c r="H54" s="1020"/>
      <c r="I54" s="1020"/>
      <c r="J54" s="1020"/>
      <c r="K54" s="1020"/>
      <c r="L54" s="1016"/>
      <c r="N54" s="989"/>
      <c r="O54" s="15" t="s">
        <v>58</v>
      </c>
      <c r="P54" s="556">
        <f>MIN(INT(($T$4*Q51)*(1+$B$33+$E$33+$B$51)),ReadMe!$M$94)</f>
        <v>16467</v>
      </c>
      <c r="Q54" s="1070"/>
      <c r="R54" s="87" t="s">
        <v>58</v>
      </c>
      <c r="S54" s="162">
        <f>MIN(INT(P54*$F$41),ReadMe!$M$94)</f>
        <v>24700</v>
      </c>
      <c r="T54" s="1458"/>
      <c r="U54" s="1459"/>
    </row>
    <row r="55" spans="2:16" ht="14.25" customHeight="1">
      <c r="B55" s="1017" t="s">
        <v>813</v>
      </c>
      <c r="C55" s="1013"/>
      <c r="D55" s="1013"/>
      <c r="E55" s="1013"/>
      <c r="F55" s="1013"/>
      <c r="G55" s="1013"/>
      <c r="H55" s="1013"/>
      <c r="I55" s="1013"/>
      <c r="J55" s="1013"/>
      <c r="K55" s="1013"/>
      <c r="L55" s="1010"/>
      <c r="N55" s="1023" t="s">
        <v>82</v>
      </c>
      <c r="O55" s="85" t="s">
        <v>56</v>
      </c>
      <c r="P55" s="827">
        <f>P52*S51</f>
        <v>172905</v>
      </c>
    </row>
    <row r="56" spans="2:16" ht="14.25" customHeight="1">
      <c r="B56" s="1017" t="s">
        <v>814</v>
      </c>
      <c r="C56" s="1013"/>
      <c r="D56" s="1013"/>
      <c r="E56" s="1013"/>
      <c r="F56" s="1013"/>
      <c r="G56" s="1013"/>
      <c r="H56" s="1013"/>
      <c r="I56" s="1013"/>
      <c r="J56" s="1013"/>
      <c r="K56" s="1013"/>
      <c r="L56" s="1010"/>
      <c r="N56" s="1334"/>
      <c r="O56" s="179" t="s">
        <v>140</v>
      </c>
      <c r="P56" s="272">
        <f>U52*S51</f>
        <v>213900</v>
      </c>
    </row>
    <row r="57" spans="2:16" ht="14.25" customHeight="1" thickBot="1">
      <c r="B57" s="1418" t="s">
        <v>1172</v>
      </c>
      <c r="C57" s="1419"/>
      <c r="D57" s="1419"/>
      <c r="E57" s="1419"/>
      <c r="F57" s="1419"/>
      <c r="G57" s="1419"/>
      <c r="H57" s="1419"/>
      <c r="I57" s="1419"/>
      <c r="J57" s="1419"/>
      <c r="K57" s="1419"/>
      <c r="L57" s="1420"/>
      <c r="N57" s="1276"/>
      <c r="O57" s="95" t="s">
        <v>133</v>
      </c>
      <c r="P57" s="159">
        <f>S54*S51</f>
        <v>370500</v>
      </c>
    </row>
    <row r="58" spans="2:12" ht="14.25" customHeight="1" thickBot="1">
      <c r="B58" s="1418" t="s">
        <v>1171</v>
      </c>
      <c r="C58" s="1419"/>
      <c r="D58" s="1419"/>
      <c r="E58" s="1419"/>
      <c r="F58" s="1419"/>
      <c r="G58" s="1419"/>
      <c r="H58" s="1419"/>
      <c r="I58" s="1419"/>
      <c r="J58" s="1419"/>
      <c r="K58" s="1419"/>
      <c r="L58" s="1420"/>
    </row>
    <row r="59" spans="2:18" ht="14.25" customHeight="1" thickBot="1">
      <c r="B59" s="1017" t="s">
        <v>358</v>
      </c>
      <c r="C59" s="1013"/>
      <c r="D59" s="1013"/>
      <c r="E59" s="1013"/>
      <c r="F59" s="1013"/>
      <c r="G59" s="1013"/>
      <c r="H59" s="1013"/>
      <c r="I59" s="1013"/>
      <c r="J59" s="1013"/>
      <c r="K59" s="1013"/>
      <c r="L59" s="1010"/>
      <c r="N59" s="977" t="s">
        <v>977</v>
      </c>
      <c r="O59" s="979"/>
      <c r="Q59" s="1414" t="s">
        <v>924</v>
      </c>
      <c r="R59" s="1415"/>
    </row>
    <row r="60" spans="2:21" ht="14.25" customHeight="1" thickBot="1">
      <c r="B60" s="1029" t="s">
        <v>359</v>
      </c>
      <c r="C60" s="1031"/>
      <c r="D60" s="1031"/>
      <c r="E60" s="1031"/>
      <c r="F60" s="1031"/>
      <c r="G60" s="1031"/>
      <c r="H60" s="1031"/>
      <c r="I60" s="1031"/>
      <c r="J60" s="1031"/>
      <c r="K60" s="1031"/>
      <c r="L60" s="1022"/>
      <c r="N60" s="301" t="s">
        <v>51</v>
      </c>
      <c r="O60" s="302">
        <f>(80+4*D8)/100</f>
        <v>0.84</v>
      </c>
      <c r="Q60" s="17" t="s">
        <v>51</v>
      </c>
      <c r="R60" s="76">
        <f>(50+3*D9)/100</f>
        <v>1.4</v>
      </c>
      <c r="U60" s="336"/>
    </row>
    <row r="61" spans="14:21" ht="14.25" thickBot="1">
      <c r="N61" s="295" t="s">
        <v>545</v>
      </c>
      <c r="O61" s="296">
        <f>4+ROUNDUP(D8/3,0)</f>
        <v>5</v>
      </c>
      <c r="Q61" s="52" t="s">
        <v>979</v>
      </c>
      <c r="R61" s="746">
        <f>INT(P4*R60)</f>
        <v>12808</v>
      </c>
      <c r="T61" s="336"/>
      <c r="U61" s="336"/>
    </row>
    <row r="62" spans="14:21" ht="14.25" thickBot="1">
      <c r="N62" s="293" t="s">
        <v>979</v>
      </c>
      <c r="O62" s="148" t="s">
        <v>885</v>
      </c>
      <c r="Q62" s="22"/>
      <c r="R62" s="711">
        <f>R61*60</f>
        <v>768480</v>
      </c>
      <c r="S62" s="22"/>
      <c r="U62" s="336"/>
    </row>
    <row r="63" ht="14.25" thickBot="1"/>
    <row r="64" spans="14:19" ht="14.25" thickBot="1">
      <c r="N64" s="1062" t="s">
        <v>1050</v>
      </c>
      <c r="O64" s="1063"/>
      <c r="P64" s="1063"/>
      <c r="Q64" s="1064"/>
      <c r="R64" s="490" t="s">
        <v>113</v>
      </c>
      <c r="S64" s="486">
        <v>0.7</v>
      </c>
    </row>
    <row r="65" spans="14:19" ht="14.25" thickBot="1">
      <c r="N65" s="1205" t="s">
        <v>1051</v>
      </c>
      <c r="O65" s="1206"/>
      <c r="P65" s="487">
        <v>1</v>
      </c>
      <c r="Q65" s="1115" t="s">
        <v>997</v>
      </c>
      <c r="R65" s="1116"/>
      <c r="S65" s="332">
        <v>1</v>
      </c>
    </row>
    <row r="66" spans="14:19" ht="13.5">
      <c r="N66" s="988" t="s">
        <v>107</v>
      </c>
      <c r="O66" s="77" t="s">
        <v>56</v>
      </c>
      <c r="P66" s="554">
        <f>MIN(INT(($R$4*P65)*(1+$B$33+$E$33+$B$51)),ReadMe!$M$94)</f>
        <v>4803</v>
      </c>
      <c r="Q66" s="975" t="s">
        <v>406</v>
      </c>
      <c r="R66" s="194" t="s">
        <v>56</v>
      </c>
      <c r="S66" s="160">
        <f>MIN(INT(P66*$E$41),ReadMe!$M$94)</f>
        <v>5763</v>
      </c>
    </row>
    <row r="67" spans="14:19" ht="13.5">
      <c r="N67" s="1051"/>
      <c r="O67" s="44" t="s">
        <v>57</v>
      </c>
      <c r="P67" s="555">
        <f>INT((P66+P68)/2)</f>
        <v>5832</v>
      </c>
      <c r="Q67" s="1069"/>
      <c r="R67" s="80" t="s">
        <v>57</v>
      </c>
      <c r="S67" s="161">
        <f>INT((S66+S68)/2)</f>
        <v>8027</v>
      </c>
    </row>
    <row r="68" spans="14:19" ht="14.25" thickBot="1">
      <c r="N68" s="989"/>
      <c r="O68" s="15" t="s">
        <v>58</v>
      </c>
      <c r="P68" s="556">
        <f>MIN(INT(($T$4*P65)*(1+$B$33+$E$33+$B$51)),ReadMe!$M$94)</f>
        <v>6861</v>
      </c>
      <c r="Q68" s="1070"/>
      <c r="R68" s="87" t="s">
        <v>58</v>
      </c>
      <c r="S68" s="162">
        <f>MIN(INT(P68*$F$41),ReadMe!$M$94)</f>
        <v>10291</v>
      </c>
    </row>
    <row r="69" spans="14:19" ht="14.25" thickBot="1">
      <c r="N69" s="1065" t="s">
        <v>127</v>
      </c>
      <c r="O69" s="1066"/>
      <c r="P69" s="1067"/>
      <c r="Q69" s="1035">
        <f>INT(P67*(1-$G$41)+S67*$G$41)</f>
        <v>5941</v>
      </c>
      <c r="R69" s="1027"/>
      <c r="S69" s="1028"/>
    </row>
    <row r="70" spans="14:19" ht="14.25" thickBot="1">
      <c r="N70" s="1065" t="s">
        <v>407</v>
      </c>
      <c r="O70" s="1066"/>
      <c r="P70" s="1067"/>
      <c r="Q70" s="1035">
        <f>Q69*S65</f>
        <v>5941</v>
      </c>
      <c r="R70" s="1027"/>
      <c r="S70" s="1028"/>
    </row>
  </sheetData>
  <sheetProtection/>
  <protectedRanges>
    <protectedRange sqref="D44:D45 D47" name="範囲1_1_1"/>
  </protectedRanges>
  <mergeCells count="120">
    <mergeCell ref="I39:J39"/>
    <mergeCell ref="I41:J41"/>
    <mergeCell ref="N55:N57"/>
    <mergeCell ref="N52:N54"/>
    <mergeCell ref="Q52:Q54"/>
    <mergeCell ref="T52:T54"/>
    <mergeCell ref="U52:U54"/>
    <mergeCell ref="E42:G42"/>
    <mergeCell ref="I47:K47"/>
    <mergeCell ref="E44:F44"/>
    <mergeCell ref="I49:J49"/>
    <mergeCell ref="T46:T47"/>
    <mergeCell ref="U46:U47"/>
    <mergeCell ref="P21:S21"/>
    <mergeCell ref="E33:F33"/>
    <mergeCell ref="I35:K35"/>
    <mergeCell ref="N28:N30"/>
    <mergeCell ref="N31:N33"/>
    <mergeCell ref="Q31:S33"/>
    <mergeCell ref="N26:S26"/>
    <mergeCell ref="I36:K36"/>
    <mergeCell ref="I48:J48"/>
    <mergeCell ref="I43:K43"/>
    <mergeCell ref="U22:U24"/>
    <mergeCell ref="U28:U30"/>
    <mergeCell ref="B29:K29"/>
    <mergeCell ref="N22:N24"/>
    <mergeCell ref="U37:U39"/>
    <mergeCell ref="N35:S35"/>
    <mergeCell ref="N37:N39"/>
    <mergeCell ref="T37:T39"/>
    <mergeCell ref="Q37:Q39"/>
    <mergeCell ref="N44:S44"/>
    <mergeCell ref="E30:F30"/>
    <mergeCell ref="E31:F31"/>
    <mergeCell ref="Q28:Q30"/>
    <mergeCell ref="T28:T30"/>
    <mergeCell ref="N40:N42"/>
    <mergeCell ref="Q41:S41"/>
    <mergeCell ref="Q42:S42"/>
    <mergeCell ref="F1:P1"/>
    <mergeCell ref="N2:P2"/>
    <mergeCell ref="R2:T2"/>
    <mergeCell ref="N11:N13"/>
    <mergeCell ref="N6:U6"/>
    <mergeCell ref="N8:N10"/>
    <mergeCell ref="Q8:Q10"/>
    <mergeCell ref="T8:T10"/>
    <mergeCell ref="Q11:S13"/>
    <mergeCell ref="W21:X21"/>
    <mergeCell ref="W22:X22"/>
    <mergeCell ref="W23:X23"/>
    <mergeCell ref="W24:W27"/>
    <mergeCell ref="W11:X11"/>
    <mergeCell ref="W12:X12"/>
    <mergeCell ref="N15:U15"/>
    <mergeCell ref="W20:X20"/>
    <mergeCell ref="N18:N20"/>
    <mergeCell ref="P17:S17"/>
    <mergeCell ref="N70:P70"/>
    <mergeCell ref="Q70:S70"/>
    <mergeCell ref="Q69:S69"/>
    <mergeCell ref="N65:O65"/>
    <mergeCell ref="Q65:R65"/>
    <mergeCell ref="N66:N68"/>
    <mergeCell ref="N69:P69"/>
    <mergeCell ref="Q66:Q68"/>
    <mergeCell ref="N64:Q64"/>
    <mergeCell ref="B59:L59"/>
    <mergeCell ref="Q46:Q48"/>
    <mergeCell ref="N59:O59"/>
    <mergeCell ref="B49:D49"/>
    <mergeCell ref="E47:F47"/>
    <mergeCell ref="B57:L57"/>
    <mergeCell ref="B58:L58"/>
    <mergeCell ref="N46:N48"/>
    <mergeCell ref="N50:S50"/>
    <mergeCell ref="B60:L60"/>
    <mergeCell ref="B46:C46"/>
    <mergeCell ref="E46:F46"/>
    <mergeCell ref="B47:C47"/>
    <mergeCell ref="B51:D51"/>
    <mergeCell ref="B55:L55"/>
    <mergeCell ref="B50:D50"/>
    <mergeCell ref="B56:L56"/>
    <mergeCell ref="B54:L54"/>
    <mergeCell ref="B53:L53"/>
    <mergeCell ref="B42:D42"/>
    <mergeCell ref="B35:D35"/>
    <mergeCell ref="B33:D33"/>
    <mergeCell ref="E32:F32"/>
    <mergeCell ref="B2:C2"/>
    <mergeCell ref="B4:D4"/>
    <mergeCell ref="B32:D32"/>
    <mergeCell ref="B39:C39"/>
    <mergeCell ref="B9:C9"/>
    <mergeCell ref="B30:D30"/>
    <mergeCell ref="B31:D31"/>
    <mergeCell ref="B26:C26"/>
    <mergeCell ref="B6:C6"/>
    <mergeCell ref="Q59:R59"/>
    <mergeCell ref="E45:F45"/>
    <mergeCell ref="B36:D36"/>
    <mergeCell ref="B37:C37"/>
    <mergeCell ref="B38:C38"/>
    <mergeCell ref="B44:C44"/>
    <mergeCell ref="I50:J50"/>
    <mergeCell ref="B45:C45"/>
    <mergeCell ref="B40:D40"/>
    <mergeCell ref="B41:D41"/>
    <mergeCell ref="T22:T24"/>
    <mergeCell ref="W6:AB6"/>
    <mergeCell ref="W8:X8"/>
    <mergeCell ref="W9:X9"/>
    <mergeCell ref="W7:X7"/>
    <mergeCell ref="W18:X18"/>
    <mergeCell ref="W13:W16"/>
    <mergeCell ref="U8:U10"/>
    <mergeCell ref="W19:X19"/>
    <mergeCell ref="W10:X10"/>
  </mergeCells>
  <printOptions/>
  <pageMargins left="0.75" right="0.75" top="1" bottom="1" header="0.512" footer="0.512"/>
  <pageSetup horizontalDpi="300" verticalDpi="300" orientation="portrait" paperSize="9" r:id="rId2"/>
  <ignoredErrors>
    <ignoredError sqref="G27:J27" formulaRange="1"/>
  </ignoredErrors>
  <legacyDrawing r:id="rId1"/>
</worksheet>
</file>

<file path=xl/worksheets/sheet7.xml><?xml version="1.0" encoding="utf-8"?>
<worksheet xmlns="http://schemas.openxmlformats.org/spreadsheetml/2006/main" xmlns:r="http://schemas.openxmlformats.org/officeDocument/2006/relationships">
  <dimension ref="A1:U61"/>
  <sheetViews>
    <sheetView workbookViewId="0" topLeftCell="A1">
      <selection activeCell="A1" sqref="A1"/>
    </sheetView>
  </sheetViews>
  <sheetFormatPr defaultColWidth="9.00390625" defaultRowHeight="13.5"/>
  <cols>
    <col min="1" max="1" width="2.625" style="0" customWidth="1"/>
    <col min="2" max="11" width="5.625" style="0" customWidth="1"/>
    <col min="12" max="13" width="2.625" style="0" customWidth="1"/>
    <col min="16" max="16" width="9.125" style="0" bestFit="1" customWidth="1"/>
    <col min="17" max="19" width="9.875" style="0" customWidth="1"/>
  </cols>
  <sheetData>
    <row r="1" spans="6:16" ht="24.75" thickBot="1">
      <c r="F1" s="990" t="s">
        <v>246</v>
      </c>
      <c r="G1" s="990"/>
      <c r="H1" s="990"/>
      <c r="I1" s="990"/>
      <c r="J1" s="990"/>
      <c r="K1" s="990"/>
      <c r="L1" s="990"/>
      <c r="M1" s="990"/>
      <c r="N1" s="990"/>
      <c r="O1" s="990"/>
      <c r="P1" s="990"/>
    </row>
    <row r="2" spans="2:20" ht="14.25" thickBot="1">
      <c r="B2" s="1078" t="s">
        <v>227</v>
      </c>
      <c r="C2" s="1094"/>
      <c r="D2" s="2">
        <v>150</v>
      </c>
      <c r="E2" s="1"/>
      <c r="F2" s="3" t="s">
        <v>129</v>
      </c>
      <c r="G2" s="3" t="s">
        <v>228</v>
      </c>
      <c r="H2" s="3" t="s">
        <v>229</v>
      </c>
      <c r="I2" s="3" t="s">
        <v>234</v>
      </c>
      <c r="J2" s="3" t="s">
        <v>233</v>
      </c>
      <c r="K2" s="26" t="s">
        <v>430</v>
      </c>
      <c r="N2" s="991" t="s">
        <v>104</v>
      </c>
      <c r="O2" s="992"/>
      <c r="P2" s="987"/>
      <c r="R2" s="991" t="s">
        <v>418</v>
      </c>
      <c r="S2" s="992"/>
      <c r="T2" s="987"/>
    </row>
    <row r="3" spans="2:20" ht="14.25" thickBot="1">
      <c r="B3" s="5" t="s">
        <v>40</v>
      </c>
      <c r="C3" s="569"/>
      <c r="D3" s="6">
        <f>((D2-1)*5+IF(D2&gt;=120,35,IF(D2&gt;=70,30,25)))-(G3+H3+J3+I3)</f>
        <v>0</v>
      </c>
      <c r="E3" s="7" t="s">
        <v>41</v>
      </c>
      <c r="F3" s="8"/>
      <c r="G3" s="8">
        <v>4</v>
      </c>
      <c r="H3" s="8">
        <v>62</v>
      </c>
      <c r="I3" s="8">
        <v>4</v>
      </c>
      <c r="J3" s="8">
        <v>710</v>
      </c>
      <c r="K3" s="9"/>
      <c r="N3" s="10" t="s">
        <v>69</v>
      </c>
      <c r="O3" s="11" t="s">
        <v>70</v>
      </c>
      <c r="P3" s="12" t="s">
        <v>71</v>
      </c>
      <c r="R3" s="71" t="s">
        <v>69</v>
      </c>
      <c r="S3" s="72" t="s">
        <v>70</v>
      </c>
      <c r="T3" s="73" t="s">
        <v>71</v>
      </c>
    </row>
    <row r="4" spans="2:20" ht="14.25" thickBot="1">
      <c r="B4" s="1023" t="s">
        <v>204</v>
      </c>
      <c r="C4" s="1024"/>
      <c r="D4" s="1024"/>
      <c r="E4" s="7" t="s">
        <v>42</v>
      </c>
      <c r="F4" s="8">
        <v>72</v>
      </c>
      <c r="G4" s="8"/>
      <c r="H4" s="8"/>
      <c r="I4" s="8"/>
      <c r="J4" s="8">
        <v>10</v>
      </c>
      <c r="K4" s="9"/>
      <c r="N4" s="14">
        <f>P4*0.65</f>
        <v>5999.038500000001</v>
      </c>
      <c r="O4" s="15">
        <f>(P4+N4)/2</f>
        <v>7614.164250000001</v>
      </c>
      <c r="P4" s="16">
        <f>$Q$4*($F$28+INT(($F$28-$F$25)*$E$31)+INT($F$28*($K$41+$K$50-1)))/100</f>
        <v>9229.29</v>
      </c>
      <c r="Q4" s="421">
        <f>1.75*(4*$J$28+$H$28)</f>
        <v>6499.5</v>
      </c>
      <c r="R4" s="14">
        <f>N4*$G$47*(1-$G$44/100)</f>
        <v>4499.278875</v>
      </c>
      <c r="S4" s="15">
        <f>O4*$G$47*(1-$G$44/100)</f>
        <v>5710.6231875</v>
      </c>
      <c r="T4" s="16">
        <f>P4*$G$47*(1-$G$44/100)</f>
        <v>6921.967500000001</v>
      </c>
    </row>
    <row r="5" spans="2:11" ht="14.25" thickBot="1">
      <c r="B5" s="169" t="s">
        <v>43</v>
      </c>
      <c r="C5" s="416"/>
      <c r="D5" s="170">
        <v>4</v>
      </c>
      <c r="E5" s="7" t="s">
        <v>44</v>
      </c>
      <c r="F5" s="8"/>
      <c r="G5" s="8"/>
      <c r="H5" s="8"/>
      <c r="I5" s="8"/>
      <c r="J5" s="8"/>
      <c r="K5" s="9"/>
    </row>
    <row r="6" spans="2:20" ht="14.25" thickBot="1">
      <c r="B6" s="729" t="s">
        <v>247</v>
      </c>
      <c r="C6" s="730"/>
      <c r="D6" s="142">
        <v>30</v>
      </c>
      <c r="E6" s="43" t="s">
        <v>45</v>
      </c>
      <c r="F6" s="8"/>
      <c r="G6" s="8">
        <v>10</v>
      </c>
      <c r="H6" s="8">
        <v>20</v>
      </c>
      <c r="I6" s="8">
        <v>10</v>
      </c>
      <c r="J6" s="8">
        <v>10</v>
      </c>
      <c r="K6" s="9">
        <v>10</v>
      </c>
      <c r="N6" s="991" t="s">
        <v>558</v>
      </c>
      <c r="O6" s="992"/>
      <c r="P6" s="987"/>
      <c r="R6" s="991" t="s">
        <v>915</v>
      </c>
      <c r="S6" s="992"/>
      <c r="T6" s="987"/>
    </row>
    <row r="7" spans="2:20" ht="14.25" thickBot="1">
      <c r="B7" s="14" t="s">
        <v>978</v>
      </c>
      <c r="C7" s="15"/>
      <c r="D7" s="247">
        <v>1</v>
      </c>
      <c r="E7" s="43" t="s">
        <v>46</v>
      </c>
      <c r="F7" s="8"/>
      <c r="G7" s="8"/>
      <c r="H7" s="8">
        <v>7</v>
      </c>
      <c r="I7" s="8"/>
      <c r="J7" s="8"/>
      <c r="K7" s="9"/>
      <c r="N7" s="10" t="s">
        <v>69</v>
      </c>
      <c r="O7" s="11" t="s">
        <v>70</v>
      </c>
      <c r="P7" s="12" t="s">
        <v>71</v>
      </c>
      <c r="R7" s="71" t="s">
        <v>69</v>
      </c>
      <c r="S7" s="72" t="s">
        <v>70</v>
      </c>
      <c r="T7" s="73" t="s">
        <v>71</v>
      </c>
    </row>
    <row r="8" spans="1:20" ht="14.25" thickBot="1">
      <c r="A8" s="421" t="b">
        <v>1</v>
      </c>
      <c r="B8" s="1476" t="s">
        <v>924</v>
      </c>
      <c r="C8" s="1477"/>
      <c r="D8" s="223">
        <v>30</v>
      </c>
      <c r="E8" s="43" t="s">
        <v>47</v>
      </c>
      <c r="F8" s="8">
        <v>2</v>
      </c>
      <c r="G8" s="8"/>
      <c r="H8" s="8">
        <v>2</v>
      </c>
      <c r="I8" s="8"/>
      <c r="J8" s="8"/>
      <c r="K8" s="9">
        <v>7</v>
      </c>
      <c r="N8" s="14">
        <f>P8*0.713</f>
        <v>7667.86581</v>
      </c>
      <c r="O8" s="15">
        <f>(P8+N8)/2</f>
        <v>9211.117905000001</v>
      </c>
      <c r="P8" s="16">
        <f>$Q$8/100*($F$28+INT(($F$28-$F$25)*$E$31)+INT($F$28*($K$41+$K$50-1)))</f>
        <v>10754.37</v>
      </c>
      <c r="Q8" s="421">
        <f>J28*8.5</f>
        <v>7573.5</v>
      </c>
      <c r="R8" s="14">
        <f>N8*$G$48*(1-$G$44/100)</f>
        <v>6038.444325375</v>
      </c>
      <c r="S8" s="15">
        <f>O8*$G$48*(1-$G$44/100)</f>
        <v>7253.755350187501</v>
      </c>
      <c r="T8" s="16">
        <f>P8*$G$48*(1-$G$44/100)</f>
        <v>8469.066375</v>
      </c>
    </row>
    <row r="9" spans="1:11" ht="14.25" thickBot="1">
      <c r="A9" s="421" t="str">
        <f>IF(A8=TRUE,"TRUE",IF(D9=1,"TRUE","FLASE"))</f>
        <v>TRUE</v>
      </c>
      <c r="B9" s="14" t="s">
        <v>925</v>
      </c>
      <c r="C9" s="15"/>
      <c r="D9" s="533"/>
      <c r="E9" s="43" t="s">
        <v>48</v>
      </c>
      <c r="F9" s="8"/>
      <c r="G9" s="8">
        <v>7</v>
      </c>
      <c r="H9" s="8">
        <v>7</v>
      </c>
      <c r="I9" s="8">
        <v>7</v>
      </c>
      <c r="J9" s="8">
        <v>7</v>
      </c>
      <c r="K9" s="9"/>
    </row>
    <row r="10" spans="2:21" ht="14.25" thickBot="1">
      <c r="B10" s="637" t="s">
        <v>788</v>
      </c>
      <c r="C10" s="3"/>
      <c r="D10" s="142">
        <v>10</v>
      </c>
      <c r="E10" s="43" t="s">
        <v>49</v>
      </c>
      <c r="F10" s="8"/>
      <c r="G10" s="8"/>
      <c r="H10" s="8">
        <v>10</v>
      </c>
      <c r="I10" s="8"/>
      <c r="J10" s="8"/>
      <c r="K10" s="9"/>
      <c r="N10" s="977" t="s">
        <v>247</v>
      </c>
      <c r="O10" s="978"/>
      <c r="P10" s="978"/>
      <c r="Q10" s="978"/>
      <c r="R10" s="978"/>
      <c r="S10" s="978"/>
      <c r="T10" s="978"/>
      <c r="U10" s="979"/>
    </row>
    <row r="11" spans="1:21" ht="14.25" thickBot="1">
      <c r="A11" s="534">
        <f>(5+2*D10)/100+1</f>
        <v>1.25</v>
      </c>
      <c r="B11" s="7" t="s">
        <v>551</v>
      </c>
      <c r="C11" s="44"/>
      <c r="D11" s="543">
        <f>A11-1</f>
        <v>0.25</v>
      </c>
      <c r="E11" s="43" t="s">
        <v>390</v>
      </c>
      <c r="F11" s="8"/>
      <c r="G11" s="8"/>
      <c r="H11" s="8"/>
      <c r="I11" s="8"/>
      <c r="J11" s="8"/>
      <c r="K11" s="9"/>
      <c r="N11" s="736" t="s">
        <v>227</v>
      </c>
      <c r="O11" s="737">
        <f>D6</f>
        <v>30</v>
      </c>
      <c r="P11" s="732" t="s">
        <v>51</v>
      </c>
      <c r="Q11" s="438">
        <f>(160+O11*3)/100</f>
        <v>2.5</v>
      </c>
      <c r="R11" s="187" t="s">
        <v>43</v>
      </c>
      <c r="S11" s="83">
        <v>4</v>
      </c>
      <c r="T11" s="198" t="s">
        <v>66</v>
      </c>
      <c r="U11" s="84">
        <v>98</v>
      </c>
    </row>
    <row r="12" spans="1:21" ht="13.5" customHeight="1" thickBot="1">
      <c r="A12" s="421" t="b">
        <v>0</v>
      </c>
      <c r="B12" s="54" t="s">
        <v>255</v>
      </c>
      <c r="C12" s="15"/>
      <c r="D12" s="29">
        <f>IF(A13="true",0,(D10*2)/100)</f>
        <v>0.2</v>
      </c>
      <c r="E12" s="43" t="s">
        <v>339</v>
      </c>
      <c r="F12" s="8"/>
      <c r="G12" s="8"/>
      <c r="H12" s="8">
        <v>1</v>
      </c>
      <c r="I12" s="8"/>
      <c r="J12" s="8">
        <v>20</v>
      </c>
      <c r="K12" s="9"/>
      <c r="N12" s="1308" t="s">
        <v>107</v>
      </c>
      <c r="O12" s="91" t="s">
        <v>56</v>
      </c>
      <c r="P12" s="681">
        <f>MIN(INT(($R$8*Q11)*(1+$B$33+$E$33+$B$51)),ReadMe!$M$94)</f>
        <v>15096</v>
      </c>
      <c r="Q12" s="1472" t="s">
        <v>406</v>
      </c>
      <c r="R12" s="712" t="s">
        <v>56</v>
      </c>
      <c r="S12" s="663">
        <f>MIN(INT(P12*$E$41),ReadMe!$M$94)</f>
        <v>20379</v>
      </c>
      <c r="T12" s="1473" t="s">
        <v>140</v>
      </c>
      <c r="U12" s="1481">
        <f>INT(P13*(1-$G$41)+S13*$G$41)</f>
        <v>23211</v>
      </c>
    </row>
    <row r="13" spans="1:21" ht="14.25" thickBot="1">
      <c r="A13" s="421" t="str">
        <f>IF(A12=TRUE,"TRUE",IF(D13=1,"TRUE","FLASE"))</f>
        <v>FLASE</v>
      </c>
      <c r="B13" s="860" t="s">
        <v>256</v>
      </c>
      <c r="C13" s="210"/>
      <c r="D13" s="861"/>
      <c r="E13" s="43" t="s">
        <v>389</v>
      </c>
      <c r="F13" s="8"/>
      <c r="G13" s="8"/>
      <c r="H13" s="8">
        <v>13</v>
      </c>
      <c r="I13" s="8"/>
      <c r="J13" s="8">
        <v>5</v>
      </c>
      <c r="K13" s="9"/>
      <c r="N13" s="1051"/>
      <c r="O13" s="44" t="s">
        <v>57</v>
      </c>
      <c r="P13" s="555">
        <f>INT((P12+P14)/2)</f>
        <v>18134</v>
      </c>
      <c r="Q13" s="1069"/>
      <c r="R13" s="80" t="s">
        <v>57</v>
      </c>
      <c r="S13" s="161">
        <f>INT((S12+S14)/2)</f>
        <v>26068</v>
      </c>
      <c r="T13" s="1473"/>
      <c r="U13" s="1409"/>
    </row>
    <row r="14" spans="1:21" ht="14.25" thickBot="1">
      <c r="A14" s="421"/>
      <c r="B14" s="237"/>
      <c r="C14" s="416"/>
      <c r="D14" s="238"/>
      <c r="E14" s="43" t="s">
        <v>59</v>
      </c>
      <c r="F14" s="8"/>
      <c r="G14" s="8"/>
      <c r="H14" s="8">
        <v>15</v>
      </c>
      <c r="I14" s="8"/>
      <c r="J14" s="8">
        <v>3</v>
      </c>
      <c r="K14" s="9">
        <v>1</v>
      </c>
      <c r="N14" s="989"/>
      <c r="O14" s="15" t="s">
        <v>58</v>
      </c>
      <c r="P14" s="556">
        <f>MIN(INT(($T$8*Q11)*(1+$B$33+$E$33+$B$51)),ReadMe!$M$94)</f>
        <v>21172</v>
      </c>
      <c r="Q14" s="1070"/>
      <c r="R14" s="87" t="s">
        <v>58</v>
      </c>
      <c r="S14" s="162">
        <f>MIN(INT(P14*$F$41),ReadMe!$M$94)</f>
        <v>31758</v>
      </c>
      <c r="T14" s="1473"/>
      <c r="U14" s="1409"/>
    </row>
    <row r="15" spans="2:21" ht="13.5">
      <c r="B15" s="23"/>
      <c r="C15" s="22"/>
      <c r="D15" s="143"/>
      <c r="E15" s="43" t="s">
        <v>60</v>
      </c>
      <c r="F15" s="8">
        <v>15</v>
      </c>
      <c r="G15" s="8"/>
      <c r="H15" s="8"/>
      <c r="I15" s="8"/>
      <c r="J15" s="8"/>
      <c r="K15" s="9"/>
      <c r="N15" s="988" t="s">
        <v>805</v>
      </c>
      <c r="O15" s="85" t="s">
        <v>56</v>
      </c>
      <c r="P15" s="78">
        <f>P12*3</f>
        <v>45288</v>
      </c>
      <c r="Q15" s="1434" t="s">
        <v>918</v>
      </c>
      <c r="R15" s="1435"/>
      <c r="S15" s="1436"/>
      <c r="T15" s="549" t="s">
        <v>56</v>
      </c>
      <c r="U15" s="560">
        <f>P15+INT(INT(P15*0.5)*(1+$E$33+$B$33))</f>
        <v>67932</v>
      </c>
    </row>
    <row r="16" spans="2:21" ht="13.5" customHeight="1">
      <c r="B16" s="23"/>
      <c r="C16" s="22"/>
      <c r="D16" s="143"/>
      <c r="E16" s="43" t="s">
        <v>61</v>
      </c>
      <c r="F16" s="8">
        <v>4</v>
      </c>
      <c r="G16" s="8"/>
      <c r="H16" s="8"/>
      <c r="I16" s="8"/>
      <c r="J16" s="8">
        <v>8</v>
      </c>
      <c r="K16" s="9"/>
      <c r="N16" s="1051"/>
      <c r="O16" s="179" t="s">
        <v>140</v>
      </c>
      <c r="P16" s="502">
        <f>U12*3</f>
        <v>69633</v>
      </c>
      <c r="Q16" s="1437"/>
      <c r="R16" s="1438"/>
      <c r="S16" s="1439"/>
      <c r="T16" s="706" t="s">
        <v>140</v>
      </c>
      <c r="U16" s="741">
        <f>P16+INT(INT(P16*0.5)*(1+$E$33+$B$33))</f>
        <v>104449</v>
      </c>
    </row>
    <row r="17" spans="2:21" ht="13.5" customHeight="1" thickBot="1">
      <c r="B17" s="23"/>
      <c r="C17" s="22"/>
      <c r="D17" s="143"/>
      <c r="E17" s="43" t="s">
        <v>1059</v>
      </c>
      <c r="F17" s="8"/>
      <c r="G17" s="8">
        <v>3</v>
      </c>
      <c r="H17" s="8">
        <v>3</v>
      </c>
      <c r="I17" s="8">
        <v>3</v>
      </c>
      <c r="J17" s="8">
        <v>3</v>
      </c>
      <c r="K17" s="9"/>
      <c r="N17" s="989"/>
      <c r="O17" s="95" t="s">
        <v>58</v>
      </c>
      <c r="P17" s="707">
        <f>S14*3</f>
        <v>95274</v>
      </c>
      <c r="Q17" s="1440"/>
      <c r="R17" s="1441"/>
      <c r="S17" s="1442"/>
      <c r="T17" s="293" t="s">
        <v>58</v>
      </c>
      <c r="U17" s="562">
        <f>P17+INT(INT(P17*0.5)*(1+$E$33+$B$33))</f>
        <v>142911</v>
      </c>
    </row>
    <row r="18" spans="2:21" ht="13.5" customHeight="1" thickBot="1">
      <c r="B18" s="23"/>
      <c r="C18" s="22"/>
      <c r="D18" s="143"/>
      <c r="E18" s="43" t="s">
        <v>1059</v>
      </c>
      <c r="F18" s="8">
        <v>1</v>
      </c>
      <c r="G18" s="8">
        <v>1</v>
      </c>
      <c r="H18" s="8">
        <v>1</v>
      </c>
      <c r="I18" s="8">
        <v>1</v>
      </c>
      <c r="J18" s="8">
        <v>1</v>
      </c>
      <c r="K18" s="9"/>
      <c r="N18" s="1205" t="s">
        <v>316</v>
      </c>
      <c r="O18" s="1254"/>
      <c r="P18" s="1254"/>
      <c r="Q18" s="1206"/>
      <c r="R18" s="1470">
        <f>(U16*U11+IF(A9="true",R30,0))*G46</f>
        <v>10863842</v>
      </c>
      <c r="S18" s="1470"/>
      <c r="T18" s="1470"/>
      <c r="U18" s="1471"/>
    </row>
    <row r="19" spans="2:11" ht="13.5" customHeight="1" thickBot="1">
      <c r="B19" s="23"/>
      <c r="C19" s="22"/>
      <c r="D19" s="143"/>
      <c r="E19" s="43" t="s">
        <v>1059</v>
      </c>
      <c r="F19" s="8">
        <v>1</v>
      </c>
      <c r="G19" s="8">
        <v>1</v>
      </c>
      <c r="H19" s="8">
        <v>1</v>
      </c>
      <c r="I19" s="8">
        <v>1</v>
      </c>
      <c r="J19" s="8">
        <v>1</v>
      </c>
      <c r="K19" s="9"/>
    </row>
    <row r="20" spans="2:19" ht="13.5" customHeight="1" thickBot="1">
      <c r="B20" s="23"/>
      <c r="C20" s="22"/>
      <c r="D20" s="143"/>
      <c r="E20" s="43" t="s">
        <v>1059</v>
      </c>
      <c r="F20" s="8"/>
      <c r="G20" s="8"/>
      <c r="H20" s="8"/>
      <c r="I20" s="8"/>
      <c r="J20" s="8"/>
      <c r="K20" s="9"/>
      <c r="N20" s="977" t="s">
        <v>663</v>
      </c>
      <c r="O20" s="978"/>
      <c r="P20" s="978"/>
      <c r="Q20" s="979"/>
      <c r="R20" s="301" t="s">
        <v>51</v>
      </c>
      <c r="S20" s="302">
        <f>350*A11/100</f>
        <v>4.375</v>
      </c>
    </row>
    <row r="21" spans="2:19" ht="13.5" customHeight="1">
      <c r="B21" s="23"/>
      <c r="C21" s="22"/>
      <c r="D21" s="143"/>
      <c r="E21" s="43" t="s">
        <v>970</v>
      </c>
      <c r="F21" s="8"/>
      <c r="G21" s="8">
        <v>2</v>
      </c>
      <c r="H21" s="8">
        <v>2</v>
      </c>
      <c r="I21" s="8">
        <v>2</v>
      </c>
      <c r="J21" s="8">
        <v>2</v>
      </c>
      <c r="K21" s="9"/>
      <c r="N21" s="988" t="s">
        <v>107</v>
      </c>
      <c r="O21" s="77" t="s">
        <v>56</v>
      </c>
      <c r="P21" s="554">
        <f>MIN(INT(($R$4*S20)*(1+$B$33+$E$33+$B$51)),ReadMe!$M$94)</f>
        <v>19684</v>
      </c>
      <c r="Q21" s="975" t="s">
        <v>406</v>
      </c>
      <c r="R21" s="194" t="s">
        <v>56</v>
      </c>
      <c r="S21" s="160">
        <f>MIN(INT(P21*$E$41),ReadMe!$M$94)</f>
        <v>26573</v>
      </c>
    </row>
    <row r="22" spans="2:19" ht="13.5">
      <c r="B22" s="23"/>
      <c r="C22" s="22"/>
      <c r="D22" s="143"/>
      <c r="E22" s="43" t="s">
        <v>972</v>
      </c>
      <c r="F22" s="8"/>
      <c r="G22" s="8">
        <v>3</v>
      </c>
      <c r="H22" s="8">
        <v>3</v>
      </c>
      <c r="I22" s="8">
        <v>3</v>
      </c>
      <c r="J22" s="8">
        <v>3</v>
      </c>
      <c r="K22" s="9"/>
      <c r="N22" s="1051"/>
      <c r="O22" s="44" t="s">
        <v>57</v>
      </c>
      <c r="P22" s="555">
        <f>INT((P21+P23)/2)</f>
        <v>24983</v>
      </c>
      <c r="Q22" s="1069"/>
      <c r="R22" s="80" t="s">
        <v>57</v>
      </c>
      <c r="S22" s="161">
        <f>INT((S21+S23)/2)</f>
        <v>35998</v>
      </c>
    </row>
    <row r="23" spans="2:19" ht="14.25" thickBot="1">
      <c r="B23" s="23"/>
      <c r="C23" s="22"/>
      <c r="D23" s="143"/>
      <c r="E23" s="43" t="s">
        <v>1210</v>
      </c>
      <c r="F23" s="8"/>
      <c r="G23" s="8"/>
      <c r="H23" s="8"/>
      <c r="I23" s="8"/>
      <c r="J23" s="8"/>
      <c r="K23" s="9"/>
      <c r="N23" s="989"/>
      <c r="O23" s="15" t="s">
        <v>58</v>
      </c>
      <c r="P23" s="556">
        <f>MIN(INT(($T$4*S20)*(1+$B$33+$E$33+$B$51)),ReadMe!$M$94)</f>
        <v>30283</v>
      </c>
      <c r="Q23" s="1070"/>
      <c r="R23" s="87" t="s">
        <v>58</v>
      </c>
      <c r="S23" s="162">
        <f>MIN(INT(P23*$F$41),ReadMe!$M$94)</f>
        <v>45424</v>
      </c>
    </row>
    <row r="24" spans="2:20" ht="14.25" thickBot="1">
      <c r="B24" s="48"/>
      <c r="C24" s="520"/>
      <c r="D24" s="239"/>
      <c r="E24" s="43" t="s">
        <v>1061</v>
      </c>
      <c r="F24" s="8"/>
      <c r="G24" s="8"/>
      <c r="H24" s="8"/>
      <c r="I24" s="8"/>
      <c r="J24" s="8"/>
      <c r="K24" s="9"/>
      <c r="N24" s="1065" t="s">
        <v>127</v>
      </c>
      <c r="O24" s="1066"/>
      <c r="P24" s="1391"/>
      <c r="Q24" s="1300">
        <f>INT(P22*(1-$G$41)+S22*$G$41)</f>
        <v>32032</v>
      </c>
      <c r="R24" s="1295"/>
      <c r="S24" s="1296"/>
      <c r="T24" s="58"/>
    </row>
    <row r="25" spans="2:19" ht="14.25" thickBot="1">
      <c r="B25" s="10" t="s">
        <v>205</v>
      </c>
      <c r="C25" s="585"/>
      <c r="D25" s="20">
        <v>27</v>
      </c>
      <c r="E25" s="7" t="s">
        <v>823</v>
      </c>
      <c r="F25" s="8">
        <v>20</v>
      </c>
      <c r="G25" s="8"/>
      <c r="H25" s="8"/>
      <c r="I25" s="8"/>
      <c r="J25" s="8"/>
      <c r="K25" s="9"/>
      <c r="N25" s="1482" t="s">
        <v>206</v>
      </c>
      <c r="O25" s="1483"/>
      <c r="P25" s="1484"/>
      <c r="Q25" s="1474">
        <f>Q24+INT(INT(Q24*0.5)*(1+$E$33+$B$33+($A$11-1)))</f>
        <v>52052</v>
      </c>
      <c r="R25" s="1474"/>
      <c r="S25" s="1475"/>
    </row>
    <row r="26" spans="2:11" ht="14.25" thickBot="1">
      <c r="B26" s="1245" t="s">
        <v>248</v>
      </c>
      <c r="C26" s="1246"/>
      <c r="D26" s="2">
        <v>9</v>
      </c>
      <c r="E26" s="235" t="s">
        <v>975</v>
      </c>
      <c r="F26" s="8"/>
      <c r="G26" s="41">
        <f>ROUNDDOWN(G3*D27%,0)</f>
        <v>0</v>
      </c>
      <c r="H26" s="41">
        <f>ROUNDDOWN(H3*D27%,0)</f>
        <v>3</v>
      </c>
      <c r="I26" s="41">
        <f>ROUNDDOWN(I3*D27%,0)</f>
        <v>0</v>
      </c>
      <c r="J26" s="41">
        <f>ROUNDDOWN(J3*D27%,0)</f>
        <v>35</v>
      </c>
      <c r="K26" s="9">
        <v>20</v>
      </c>
    </row>
    <row r="27" spans="2:19" ht="14.25" thickBot="1">
      <c r="B27" s="14" t="s">
        <v>62</v>
      </c>
      <c r="C27" s="571"/>
      <c r="D27" s="47">
        <f>ROUNDUP(D26/2,0)</f>
        <v>5</v>
      </c>
      <c r="E27" s="7" t="s">
        <v>63</v>
      </c>
      <c r="F27" s="44">
        <f>D28</f>
        <v>0</v>
      </c>
      <c r="G27" s="44">
        <f>SUM(G4:G25)</f>
        <v>27</v>
      </c>
      <c r="H27" s="44">
        <f>SUM(H4:H25)</f>
        <v>85</v>
      </c>
      <c r="I27" s="44">
        <f>SUM(I4:I25)</f>
        <v>27</v>
      </c>
      <c r="J27" s="44">
        <f>SUM(J4:J25)</f>
        <v>73</v>
      </c>
      <c r="K27" s="45">
        <f>SUM(K3:K26)+D28</f>
        <v>38</v>
      </c>
      <c r="N27" s="977" t="s">
        <v>977</v>
      </c>
      <c r="O27" s="979"/>
      <c r="P27" s="308"/>
      <c r="Q27" s="1414" t="s">
        <v>924</v>
      </c>
      <c r="R27" s="1415"/>
      <c r="S27" s="206"/>
    </row>
    <row r="28" spans="2:19" ht="14.25" thickBot="1">
      <c r="B28" s="17" t="s">
        <v>1024</v>
      </c>
      <c r="C28" s="210"/>
      <c r="D28" s="332">
        <v>0</v>
      </c>
      <c r="E28" s="14" t="s">
        <v>55</v>
      </c>
      <c r="F28" s="49">
        <f>D25+SUM(F4:F27)</f>
        <v>142</v>
      </c>
      <c r="G28" s="579">
        <f>INT((G3+G26+G27)*(1+G31))</f>
        <v>31</v>
      </c>
      <c r="H28" s="579">
        <f>INT((H3+H26+H27)*(1+H31))</f>
        <v>150</v>
      </c>
      <c r="I28" s="579">
        <f>INT((I3+I26+I27)*(1+I31))</f>
        <v>31</v>
      </c>
      <c r="J28" s="579">
        <f>INT((J3+J26+J27)*(1+J31))</f>
        <v>891</v>
      </c>
      <c r="K28" s="580">
        <f>($J$28+$H$28*1.2+K27)*(1+K31)</f>
        <v>1109</v>
      </c>
      <c r="N28" s="301" t="s">
        <v>51</v>
      </c>
      <c r="O28" s="302">
        <f>IF($D$7=0,0,IF($D$7&gt;=11,80+($D$7-10),60+$D$7))/100</f>
        <v>0.61</v>
      </c>
      <c r="P28" s="120"/>
      <c r="Q28" s="17" t="s">
        <v>51</v>
      </c>
      <c r="R28" s="76">
        <f>(50+3*D8)/100</f>
        <v>1.4</v>
      </c>
      <c r="S28" s="371"/>
    </row>
    <row r="29" spans="2:19" ht="14.25" thickBot="1">
      <c r="B29" s="1068" t="s">
        <v>645</v>
      </c>
      <c r="C29" s="1036"/>
      <c r="D29" s="1036"/>
      <c r="E29" s="1036"/>
      <c r="F29" s="1036"/>
      <c r="G29" s="1036"/>
      <c r="H29" s="1036"/>
      <c r="I29" s="1036"/>
      <c r="J29" s="1036"/>
      <c r="K29" s="1037"/>
      <c r="N29" s="295" t="s">
        <v>545</v>
      </c>
      <c r="O29" s="296">
        <f>IF($D$7&gt;=21,12,IF($D$7&gt;=11,8,4))</f>
        <v>4</v>
      </c>
      <c r="Q29" s="52" t="s">
        <v>979</v>
      </c>
      <c r="R29" s="746">
        <f>INT(S29*R28)</f>
        <v>10464</v>
      </c>
      <c r="S29" s="421">
        <f>$Q$4*(($F$28-D25)+INT(($F$28-D25-$F$25)*$E$31)+INT(($F$28-D25)*($K$50-1)))/100</f>
        <v>7474.425</v>
      </c>
    </row>
    <row r="30" spans="2:18" ht="14.25" thickBot="1">
      <c r="B30" s="1085" t="s">
        <v>443</v>
      </c>
      <c r="C30" s="1086"/>
      <c r="D30" s="1087"/>
      <c r="E30" s="1038" t="s">
        <v>646</v>
      </c>
      <c r="F30" s="1039"/>
      <c r="G30" s="1" t="s">
        <v>650</v>
      </c>
      <c r="H30" s="3" t="s">
        <v>649</v>
      </c>
      <c r="I30" s="3" t="s">
        <v>648</v>
      </c>
      <c r="J30" s="3" t="s">
        <v>647</v>
      </c>
      <c r="K30" s="4" t="s">
        <v>651</v>
      </c>
      <c r="N30" s="293" t="s">
        <v>979</v>
      </c>
      <c r="O30" s="148" t="s">
        <v>885</v>
      </c>
      <c r="Q30" s="22"/>
      <c r="R30" s="711">
        <f>R29*60</f>
        <v>627840</v>
      </c>
    </row>
    <row r="31" spans="2:11" ht="14.25" thickBot="1">
      <c r="B31" s="1091">
        <v>0</v>
      </c>
      <c r="C31" s="1132"/>
      <c r="D31" s="1093"/>
      <c r="E31" s="1040">
        <v>0</v>
      </c>
      <c r="F31" s="1032"/>
      <c r="G31" s="575">
        <v>0</v>
      </c>
      <c r="H31" s="576">
        <v>0</v>
      </c>
      <c r="I31" s="576">
        <v>0</v>
      </c>
      <c r="J31" s="576">
        <v>0.09</v>
      </c>
      <c r="K31" s="577">
        <v>0</v>
      </c>
    </row>
    <row r="32" spans="2:19" ht="14.25" thickBot="1">
      <c r="B32" s="1088" t="s">
        <v>644</v>
      </c>
      <c r="C32" s="1089"/>
      <c r="D32" s="1090"/>
      <c r="E32" s="984" t="s">
        <v>551</v>
      </c>
      <c r="F32" s="976"/>
      <c r="N32" s="977" t="s">
        <v>998</v>
      </c>
      <c r="O32" s="978"/>
      <c r="P32" s="978"/>
      <c r="Q32" s="1196"/>
      <c r="R32" s="140" t="s">
        <v>66</v>
      </c>
      <c r="S32" s="332">
        <v>2</v>
      </c>
    </row>
    <row r="33" spans="2:19" ht="14.25" thickBot="1">
      <c r="B33" s="1091">
        <v>0</v>
      </c>
      <c r="C33" s="1092"/>
      <c r="D33" s="1093"/>
      <c r="E33" s="1040">
        <v>0</v>
      </c>
      <c r="F33" s="1032"/>
      <c r="N33" s="1104" t="s">
        <v>1051</v>
      </c>
      <c r="O33" s="1207"/>
      <c r="P33" s="487">
        <v>1.7</v>
      </c>
      <c r="Q33" s="1068" t="s">
        <v>999</v>
      </c>
      <c r="R33" s="1469"/>
      <c r="S33" s="332">
        <v>30</v>
      </c>
    </row>
    <row r="34" spans="14:19" ht="14.25" thickBot="1">
      <c r="N34" s="988" t="s">
        <v>107</v>
      </c>
      <c r="O34" s="77" t="s">
        <v>56</v>
      </c>
      <c r="P34" s="554">
        <f>INT(P36*0.7)</f>
        <v>14303</v>
      </c>
      <c r="Q34" s="975" t="s">
        <v>406</v>
      </c>
      <c r="R34" s="194" t="s">
        <v>56</v>
      </c>
      <c r="S34" s="160">
        <f>MIN(INT(P34*$E$41),ReadMe!$M$94)</f>
        <v>19309</v>
      </c>
    </row>
    <row r="35" spans="2:19" ht="14.25" customHeight="1" thickBot="1">
      <c r="B35" s="1047" t="s">
        <v>1120</v>
      </c>
      <c r="C35" s="1048"/>
      <c r="D35" s="1048"/>
      <c r="E35" s="535" t="s">
        <v>56</v>
      </c>
      <c r="F35" s="19" t="s">
        <v>58</v>
      </c>
      <c r="G35" s="536" t="s">
        <v>750</v>
      </c>
      <c r="I35" s="1041" t="s">
        <v>218</v>
      </c>
      <c r="J35" s="1042"/>
      <c r="K35" s="1043"/>
      <c r="N35" s="1051"/>
      <c r="O35" s="44" t="s">
        <v>57</v>
      </c>
      <c r="P35" s="555">
        <f>INT((P34+P36)/2)</f>
        <v>17368</v>
      </c>
      <c r="Q35" s="1069"/>
      <c r="R35" s="80" t="s">
        <v>57</v>
      </c>
      <c r="S35" s="161">
        <f>INT((S34+S36)/2)</f>
        <v>24979</v>
      </c>
    </row>
    <row r="36" spans="2:19" ht="14.25" customHeight="1" thickBot="1">
      <c r="B36" s="1133" t="s">
        <v>1122</v>
      </c>
      <c r="C36" s="1134"/>
      <c r="D36" s="1135"/>
      <c r="E36" s="36">
        <f>(120+ROUNDUP(S33/2,0))/100</f>
        <v>1.35</v>
      </c>
      <c r="F36" s="539">
        <v>1.5</v>
      </c>
      <c r="G36" s="260">
        <f>0.55+(1-0.55)*D12</f>
        <v>0.64</v>
      </c>
      <c r="I36" s="1041" t="s">
        <v>220</v>
      </c>
      <c r="J36" s="1053"/>
      <c r="K36" s="1054"/>
      <c r="N36" s="989"/>
      <c r="O36" s="15" t="s">
        <v>58</v>
      </c>
      <c r="P36" s="556">
        <f>INT(J28*7.6/100*($F$28+INT(($F$28-$F$25)*$E$31)+INT($F$28*($K$50-1)))*P33*A11)</f>
        <v>20433</v>
      </c>
      <c r="Q36" s="1070"/>
      <c r="R36" s="87" t="s">
        <v>58</v>
      </c>
      <c r="S36" s="162">
        <f>MIN(INT(P36*$F$41),ReadMe!$M$94)</f>
        <v>30649</v>
      </c>
    </row>
    <row r="37" spans="2:19" ht="14.25" customHeight="1" thickBot="1">
      <c r="B37" s="1051" t="s">
        <v>1117</v>
      </c>
      <c r="C37" s="1052"/>
      <c r="D37" s="548">
        <v>0</v>
      </c>
      <c r="E37" s="538"/>
      <c r="F37" s="537">
        <f>D37/100</f>
        <v>0</v>
      </c>
      <c r="G37" s="543">
        <f>IF(D37=0,0,(5+ROUNDUP(D37/2,0))/100)</f>
        <v>0</v>
      </c>
      <c r="I37" s="871" t="s">
        <v>217</v>
      </c>
      <c r="J37" s="224"/>
      <c r="K37" s="247">
        <v>0</v>
      </c>
      <c r="N37" s="1301" t="s">
        <v>127</v>
      </c>
      <c r="O37" s="1302"/>
      <c r="P37" s="1302"/>
      <c r="Q37" s="1467">
        <f>INT(P35*(1-$G$41)+S35*$G$41)</f>
        <v>22239</v>
      </c>
      <c r="R37" s="1467"/>
      <c r="S37" s="1468"/>
    </row>
    <row r="38" spans="2:7" ht="13.5" customHeight="1" thickBot="1">
      <c r="B38" s="1051" t="s">
        <v>1118</v>
      </c>
      <c r="C38" s="1052"/>
      <c r="D38" s="548">
        <v>0</v>
      </c>
      <c r="E38" s="538">
        <f>D38/100</f>
        <v>0</v>
      </c>
      <c r="F38" s="537"/>
      <c r="G38" s="543">
        <f>IF(D38=0,0,(5+ROUNDUP(D38/2,0))/100)</f>
        <v>0</v>
      </c>
    </row>
    <row r="39" spans="1:13" ht="14.25" thickBot="1">
      <c r="A39" s="421" t="b">
        <v>0</v>
      </c>
      <c r="B39" s="1051" t="s">
        <v>1119</v>
      </c>
      <c r="C39" s="1052"/>
      <c r="D39" s="544"/>
      <c r="E39" s="538"/>
      <c r="F39" s="537">
        <f>IF(H39="true",0.15,0)</f>
        <v>0</v>
      </c>
      <c r="G39" s="543">
        <f>IF(H39="true",0.1,0)</f>
        <v>0</v>
      </c>
      <c r="H39" s="421" t="str">
        <f>IF(A39=TRUE,"TRUE",IF(D39=1,"TRUE","FLASE"))</f>
        <v>FLASE</v>
      </c>
      <c r="I39" s="1058" t="s">
        <v>1163</v>
      </c>
      <c r="J39" s="1059"/>
      <c r="K39" s="896"/>
      <c r="L39" s="421" t="b">
        <v>0</v>
      </c>
      <c r="M39" s="514" t="str">
        <f>IF(L39=TRUE,"TRUE",IF(K39=1,"TRUE","FLASE"))</f>
        <v>FLASE</v>
      </c>
    </row>
    <row r="40" spans="2:11" ht="14.25" thickBot="1">
      <c r="B40" s="1055" t="s">
        <v>1121</v>
      </c>
      <c r="C40" s="1056"/>
      <c r="D40" s="1057"/>
      <c r="E40" s="545">
        <v>0</v>
      </c>
      <c r="F40" s="546">
        <v>0</v>
      </c>
      <c r="G40" s="547">
        <v>0</v>
      </c>
      <c r="I40" s="637" t="s">
        <v>787</v>
      </c>
      <c r="J40" s="893"/>
      <c r="K40" s="894">
        <v>0</v>
      </c>
    </row>
    <row r="41" spans="2:13" ht="14.25" thickBot="1">
      <c r="B41" s="1044" t="s">
        <v>1123</v>
      </c>
      <c r="C41" s="1045"/>
      <c r="D41" s="1046"/>
      <c r="E41" s="540">
        <f>E36+MAX(E38,E39)+E40</f>
        <v>1.35</v>
      </c>
      <c r="F41" s="541">
        <f>F36+MAX(F37,F39)+F40</f>
        <v>1.5</v>
      </c>
      <c r="G41" s="542">
        <f>G36+MAX(G37,G38,G39)+G40</f>
        <v>0.64</v>
      </c>
      <c r="I41" s="1060" t="s">
        <v>530</v>
      </c>
      <c r="J41" s="1061"/>
      <c r="K41" s="895">
        <f>IF(M39="true",IF(K40&gt;0,10+ROUNDUP(K40/3,0),11)/100,0)</f>
        <v>0</v>
      </c>
      <c r="L41" s="342"/>
      <c r="M41" s="342"/>
    </row>
    <row r="42" spans="2:7" ht="14.25" thickBot="1">
      <c r="B42" s="1136" t="s">
        <v>135</v>
      </c>
      <c r="C42" s="1137"/>
      <c r="D42" s="1138"/>
      <c r="E42" s="1011">
        <f>(($E$41+$F$41)/2-1)*$G$41+1</f>
        <v>1.272</v>
      </c>
      <c r="F42" s="1012"/>
      <c r="G42" s="1005"/>
    </row>
    <row r="43" spans="9:11" ht="14.25" thickBot="1">
      <c r="I43" s="1075" t="s">
        <v>1188</v>
      </c>
      <c r="J43" s="1076"/>
      <c r="K43" s="1077"/>
    </row>
    <row r="44" spans="2:13" ht="13.5">
      <c r="B44" s="1049" t="s">
        <v>416</v>
      </c>
      <c r="C44" s="1050"/>
      <c r="D44" s="644">
        <v>125</v>
      </c>
      <c r="E44" s="1147" t="s">
        <v>417</v>
      </c>
      <c r="F44" s="1148"/>
      <c r="G44" s="26">
        <f>IF(D2&gt;D44,0,$D$44-$D$2)</f>
        <v>0</v>
      </c>
      <c r="I44" s="439" t="s">
        <v>1189</v>
      </c>
      <c r="J44" s="572"/>
      <c r="K44" s="223">
        <v>0</v>
      </c>
      <c r="L44" s="342"/>
      <c r="M44" s="342"/>
    </row>
    <row r="45" spans="2:11" ht="14.25" thickBot="1">
      <c r="B45" s="1006" t="s">
        <v>450</v>
      </c>
      <c r="C45" s="1007"/>
      <c r="D45" s="618">
        <v>12</v>
      </c>
      <c r="E45" s="1006" t="s">
        <v>452</v>
      </c>
      <c r="F45" s="1007"/>
      <c r="G45" s="665">
        <f>IF(G44&gt;0,"-",D45)</f>
        <v>12</v>
      </c>
      <c r="I45" s="440" t="s">
        <v>1190</v>
      </c>
      <c r="J45" s="573"/>
      <c r="K45" s="441">
        <f>IF(K44&gt;0,(K44+10)/100,0)</f>
        <v>0</v>
      </c>
    </row>
    <row r="46" spans="2:7" ht="14.25" thickBot="1">
      <c r="B46" s="997" t="s">
        <v>415</v>
      </c>
      <c r="C46" s="998"/>
      <c r="D46" s="618">
        <v>0</v>
      </c>
      <c r="E46" s="1006" t="s">
        <v>451</v>
      </c>
      <c r="F46" s="1007"/>
      <c r="G46" s="543">
        <f>MAX((MIN(100+SQRT($K$28)-SQRT($D$45),100)-5*G44)/100,0)</f>
        <v>1</v>
      </c>
    </row>
    <row r="47" spans="2:13" ht="14.25" thickBot="1">
      <c r="B47" s="1008" t="s">
        <v>642</v>
      </c>
      <c r="C47" s="1009"/>
      <c r="D47" s="643">
        <v>0.25</v>
      </c>
      <c r="E47" s="1006" t="s">
        <v>643</v>
      </c>
      <c r="F47" s="1007"/>
      <c r="G47" s="543">
        <f>1-(D47*(1-K45))</f>
        <v>0.75</v>
      </c>
      <c r="H47" s="534">
        <f>ROUNDUP(D6/2,0)/100+K45</f>
        <v>0.15</v>
      </c>
      <c r="I47" s="1003" t="s">
        <v>1110</v>
      </c>
      <c r="J47" s="1004"/>
      <c r="K47" s="996"/>
      <c r="L47" s="342"/>
      <c r="M47" s="168"/>
    </row>
    <row r="48" spans="4:13" ht="14.25" thickBot="1">
      <c r="D48" s="421">
        <f>$D$46*(1-($K$45+$B$31))</f>
        <v>0</v>
      </c>
      <c r="E48" s="1145" t="s">
        <v>949</v>
      </c>
      <c r="F48" s="1146"/>
      <c r="G48" s="29">
        <f>1-(D47*(1-H47+K45))</f>
        <v>0.7875</v>
      </c>
      <c r="I48" s="1083" t="s">
        <v>652</v>
      </c>
      <c r="J48" s="1084"/>
      <c r="K48" s="493"/>
      <c r="L48" s="514" t="b">
        <v>0</v>
      </c>
      <c r="M48" s="514" t="str">
        <f>IF(L48=TRUE,"TRUE",IF(K48=1,"TRUE","FLASE"))</f>
        <v>FLASE</v>
      </c>
    </row>
    <row r="49" spans="2:13" ht="13.5">
      <c r="B49" s="1078" t="s">
        <v>749</v>
      </c>
      <c r="C49" s="1079"/>
      <c r="D49" s="1080"/>
      <c r="I49" s="994" t="s">
        <v>653</v>
      </c>
      <c r="J49" s="995"/>
      <c r="K49" s="494"/>
      <c r="L49" s="514" t="b">
        <v>0</v>
      </c>
      <c r="M49" s="514" t="str">
        <f>IF(L49=TRUE,"TRUE",IF(K49=1,"TRUE","FLASE"))</f>
        <v>FLASE</v>
      </c>
    </row>
    <row r="50" spans="2:13" ht="14.25" thickBot="1">
      <c r="B50" s="999" t="s">
        <v>551</v>
      </c>
      <c r="C50" s="1000"/>
      <c r="D50" s="1001"/>
      <c r="I50" s="1002" t="s">
        <v>530</v>
      </c>
      <c r="J50" s="993"/>
      <c r="K50" s="225">
        <f>IF(M48="TRUE",1.04,IF(M49="TRUE",1.02,1))</f>
        <v>1</v>
      </c>
      <c r="L50" s="352"/>
      <c r="M50" s="352"/>
    </row>
    <row r="51" spans="2:4" ht="14.25" thickBot="1">
      <c r="B51" s="1142">
        <v>0</v>
      </c>
      <c r="C51" s="1143"/>
      <c r="D51" s="1144"/>
    </row>
    <row r="52" ht="13.5" customHeight="1" thickBot="1"/>
    <row r="53" spans="2:12" ht="14.25" thickBot="1">
      <c r="B53" s="1023" t="s">
        <v>64</v>
      </c>
      <c r="C53" s="1024"/>
      <c r="D53" s="1024"/>
      <c r="E53" s="1024"/>
      <c r="F53" s="1024"/>
      <c r="G53" s="1024"/>
      <c r="H53" s="1024"/>
      <c r="I53" s="1024"/>
      <c r="J53" s="1024"/>
      <c r="K53" s="1024"/>
      <c r="L53" s="1025"/>
    </row>
    <row r="54" spans="2:12" ht="13.5">
      <c r="B54" s="1478" t="s">
        <v>359</v>
      </c>
      <c r="C54" s="1479"/>
      <c r="D54" s="1479"/>
      <c r="E54" s="1479"/>
      <c r="F54" s="1479"/>
      <c r="G54" s="1479"/>
      <c r="H54" s="1479"/>
      <c r="I54" s="1479"/>
      <c r="J54" s="1479"/>
      <c r="K54" s="1479"/>
      <c r="L54" s="1480"/>
    </row>
    <row r="55" spans="2:12" ht="13.5">
      <c r="B55" s="1485" t="s">
        <v>348</v>
      </c>
      <c r="C55" s="1486"/>
      <c r="D55" s="1486"/>
      <c r="E55" s="1486"/>
      <c r="F55" s="1486"/>
      <c r="G55" s="1486"/>
      <c r="H55" s="1486"/>
      <c r="I55" s="1486"/>
      <c r="J55" s="1486"/>
      <c r="K55" s="1486"/>
      <c r="L55" s="1487"/>
    </row>
    <row r="56" spans="2:12" ht="13.5">
      <c r="B56" s="1485" t="s">
        <v>349</v>
      </c>
      <c r="C56" s="1486"/>
      <c r="D56" s="1486"/>
      <c r="E56" s="1486"/>
      <c r="F56" s="1486"/>
      <c r="G56" s="1486"/>
      <c r="H56" s="1486"/>
      <c r="I56" s="1486"/>
      <c r="J56" s="1486"/>
      <c r="K56" s="1486"/>
      <c r="L56" s="1487"/>
    </row>
    <row r="57" spans="2:12" ht="13.5">
      <c r="B57" s="1464" t="s">
        <v>559</v>
      </c>
      <c r="C57" s="1465"/>
      <c r="D57" s="1465"/>
      <c r="E57" s="1465"/>
      <c r="F57" s="1465"/>
      <c r="G57" s="1465"/>
      <c r="H57" s="1465"/>
      <c r="I57" s="1465"/>
      <c r="J57" s="1465"/>
      <c r="K57" s="1465"/>
      <c r="L57" s="1466"/>
    </row>
    <row r="58" spans="2:12" ht="13.5">
      <c r="B58" s="1017" t="s">
        <v>560</v>
      </c>
      <c r="C58" s="1013"/>
      <c r="D58" s="1013"/>
      <c r="E58" s="1013"/>
      <c r="F58" s="1013"/>
      <c r="G58" s="1013"/>
      <c r="H58" s="1013"/>
      <c r="I58" s="1013"/>
      <c r="J58" s="1013"/>
      <c r="K58" s="1013"/>
      <c r="L58" s="1010"/>
    </row>
    <row r="59" spans="2:12" ht="13.5">
      <c r="B59" s="1017" t="s">
        <v>561</v>
      </c>
      <c r="C59" s="1013"/>
      <c r="D59" s="1013"/>
      <c r="E59" s="1013"/>
      <c r="F59" s="1013"/>
      <c r="G59" s="1013"/>
      <c r="H59" s="1013"/>
      <c r="I59" s="1013"/>
      <c r="J59" s="1013"/>
      <c r="K59" s="1013"/>
      <c r="L59" s="1010"/>
    </row>
    <row r="60" spans="2:12" ht="13.5">
      <c r="B60" s="1017" t="s">
        <v>197</v>
      </c>
      <c r="C60" s="1013"/>
      <c r="D60" s="1013"/>
      <c r="E60" s="1013"/>
      <c r="F60" s="1013"/>
      <c r="G60" s="1013"/>
      <c r="H60" s="1013"/>
      <c r="I60" s="1013"/>
      <c r="J60" s="1013"/>
      <c r="K60" s="1013"/>
      <c r="L60" s="1010"/>
    </row>
    <row r="61" spans="2:12" ht="14.25" thickBot="1">
      <c r="B61" s="1029" t="s">
        <v>822</v>
      </c>
      <c r="C61" s="1031"/>
      <c r="D61" s="1031"/>
      <c r="E61" s="1031"/>
      <c r="F61" s="1031"/>
      <c r="G61" s="1031"/>
      <c r="H61" s="1031"/>
      <c r="I61" s="1031"/>
      <c r="J61" s="1031"/>
      <c r="K61" s="1031"/>
      <c r="L61" s="1022"/>
    </row>
  </sheetData>
  <sheetProtection/>
  <protectedRanges>
    <protectedRange sqref="D44:D45 D47" name="範囲1_1_1"/>
  </protectedRanges>
  <mergeCells count="82">
    <mergeCell ref="B55:L55"/>
    <mergeCell ref="B56:L56"/>
    <mergeCell ref="I41:J41"/>
    <mergeCell ref="B45:C45"/>
    <mergeCell ref="E45:F45"/>
    <mergeCell ref="I50:J50"/>
    <mergeCell ref="I49:J49"/>
    <mergeCell ref="I47:K47"/>
    <mergeCell ref="I48:J48"/>
    <mergeCell ref="B51:D51"/>
    <mergeCell ref="U12:U14"/>
    <mergeCell ref="N15:N17"/>
    <mergeCell ref="Q15:S17"/>
    <mergeCell ref="B44:C44"/>
    <mergeCell ref="E44:F44"/>
    <mergeCell ref="N25:P25"/>
    <mergeCell ref="I36:K36"/>
    <mergeCell ref="B40:D40"/>
    <mergeCell ref="B30:D30"/>
    <mergeCell ref="E30:F30"/>
    <mergeCell ref="B47:C47"/>
    <mergeCell ref="E47:F47"/>
    <mergeCell ref="B49:D49"/>
    <mergeCell ref="B50:D50"/>
    <mergeCell ref="E48:F48"/>
    <mergeCell ref="B31:D31"/>
    <mergeCell ref="E31:F31"/>
    <mergeCell ref="B36:D36"/>
    <mergeCell ref="B37:C37"/>
    <mergeCell ref="B38:C38"/>
    <mergeCell ref="I39:J39"/>
    <mergeCell ref="B61:L61"/>
    <mergeCell ref="B60:L60"/>
    <mergeCell ref="B54:L54"/>
    <mergeCell ref="B41:D41"/>
    <mergeCell ref="B42:D42"/>
    <mergeCell ref="B46:C46"/>
    <mergeCell ref="E46:F46"/>
    <mergeCell ref="E42:G42"/>
    <mergeCell ref="R2:T2"/>
    <mergeCell ref="E32:F32"/>
    <mergeCell ref="B33:D33"/>
    <mergeCell ref="E33:F33"/>
    <mergeCell ref="N10:U10"/>
    <mergeCell ref="R6:T6"/>
    <mergeCell ref="N20:Q20"/>
    <mergeCell ref="N21:N23"/>
    <mergeCell ref="N24:P24"/>
    <mergeCell ref="Q24:S24"/>
    <mergeCell ref="B53:L53"/>
    <mergeCell ref="R18:U18"/>
    <mergeCell ref="B4:D4"/>
    <mergeCell ref="I35:K35"/>
    <mergeCell ref="N18:Q18"/>
    <mergeCell ref="Q21:Q23"/>
    <mergeCell ref="Q12:Q14"/>
    <mergeCell ref="T12:T14"/>
    <mergeCell ref="Q25:S25"/>
    <mergeCell ref="B8:C8"/>
    <mergeCell ref="N2:P2"/>
    <mergeCell ref="N12:N14"/>
    <mergeCell ref="N6:P6"/>
    <mergeCell ref="F1:P1"/>
    <mergeCell ref="Q27:R27"/>
    <mergeCell ref="N27:O27"/>
    <mergeCell ref="Q37:S37"/>
    <mergeCell ref="Q33:R33"/>
    <mergeCell ref="N32:Q32"/>
    <mergeCell ref="N34:N36"/>
    <mergeCell ref="Q34:Q36"/>
    <mergeCell ref="N33:O33"/>
    <mergeCell ref="N37:P37"/>
    <mergeCell ref="B57:L57"/>
    <mergeCell ref="B58:L58"/>
    <mergeCell ref="B59:L59"/>
    <mergeCell ref="B2:C2"/>
    <mergeCell ref="B26:C26"/>
    <mergeCell ref="B39:C39"/>
    <mergeCell ref="B35:D35"/>
    <mergeCell ref="B32:D32"/>
    <mergeCell ref="B29:K29"/>
    <mergeCell ref="I43:K43"/>
  </mergeCells>
  <printOptions/>
  <pageMargins left="0.75" right="0.75" top="1" bottom="1" header="0.512" footer="0.512"/>
  <pageSetup horizontalDpi="300" verticalDpi="300" orientation="portrait" paperSize="9" r:id="rId2"/>
  <ignoredErrors>
    <ignoredError sqref="G27:J27" formulaRange="1"/>
  </ignoredErrors>
  <legacyDrawing r:id="rId1"/>
</worksheet>
</file>

<file path=xl/worksheets/sheet8.xml><?xml version="1.0" encoding="utf-8"?>
<worksheet xmlns="http://schemas.openxmlformats.org/spreadsheetml/2006/main" xmlns:r="http://schemas.openxmlformats.org/officeDocument/2006/relationships">
  <dimension ref="A1:Y119"/>
  <sheetViews>
    <sheetView workbookViewId="0" topLeftCell="A1">
      <selection activeCell="A1" sqref="A1"/>
    </sheetView>
  </sheetViews>
  <sheetFormatPr defaultColWidth="9.00390625" defaultRowHeight="13.5"/>
  <cols>
    <col min="1" max="1" width="2.625" style="0" customWidth="1"/>
    <col min="2" max="11" width="5.625" style="0" customWidth="1"/>
    <col min="12" max="13" width="2.625" style="0" customWidth="1"/>
    <col min="19" max="19" width="9.50390625" style="0" bestFit="1" customWidth="1"/>
    <col min="22" max="22" width="2.625" style="0" customWidth="1"/>
  </cols>
  <sheetData>
    <row r="1" spans="6:16" ht="24.75" thickBot="1">
      <c r="F1" s="990" t="s">
        <v>834</v>
      </c>
      <c r="G1" s="990"/>
      <c r="H1" s="990"/>
      <c r="I1" s="990"/>
      <c r="J1" s="990"/>
      <c r="K1" s="990"/>
      <c r="L1" s="990"/>
      <c r="M1" s="990"/>
      <c r="N1" s="990"/>
      <c r="O1" s="990"/>
      <c r="P1" s="990"/>
    </row>
    <row r="2" spans="2:23" ht="14.25" thickBot="1">
      <c r="B2" s="1078" t="s">
        <v>37</v>
      </c>
      <c r="C2" s="1094"/>
      <c r="D2" s="2">
        <v>150</v>
      </c>
      <c r="E2" s="1"/>
      <c r="F2" s="3" t="s">
        <v>129</v>
      </c>
      <c r="G2" s="3" t="s">
        <v>525</v>
      </c>
      <c r="H2" s="3" t="s">
        <v>526</v>
      </c>
      <c r="I2" s="3" t="s">
        <v>528</v>
      </c>
      <c r="J2" s="3" t="s">
        <v>527</v>
      </c>
      <c r="K2" s="26" t="s">
        <v>430</v>
      </c>
      <c r="N2" s="991" t="s">
        <v>104</v>
      </c>
      <c r="O2" s="992"/>
      <c r="P2" s="987"/>
      <c r="R2" s="991" t="s">
        <v>418</v>
      </c>
      <c r="S2" s="992"/>
      <c r="T2" s="987"/>
      <c r="W2" s="421" t="s">
        <v>78</v>
      </c>
    </row>
    <row r="3" spans="2:23" ht="14.25" thickBot="1">
      <c r="B3" s="5" t="s">
        <v>40</v>
      </c>
      <c r="C3" s="569"/>
      <c r="D3" s="6">
        <f>((D2-1)*5+IF(D2&gt;=120,35,IF(D2&gt;=70,30,25)))-(G3+H3+J3+I3)</f>
        <v>0</v>
      </c>
      <c r="E3" s="7" t="s">
        <v>41</v>
      </c>
      <c r="F3" s="8"/>
      <c r="G3" s="8">
        <v>4</v>
      </c>
      <c r="H3" s="8">
        <v>62</v>
      </c>
      <c r="I3" s="8">
        <v>4</v>
      </c>
      <c r="J3" s="8">
        <v>710</v>
      </c>
      <c r="K3" s="9"/>
      <c r="N3" s="10" t="s">
        <v>69</v>
      </c>
      <c r="O3" s="11" t="s">
        <v>425</v>
      </c>
      <c r="P3" s="12" t="s">
        <v>71</v>
      </c>
      <c r="R3" s="10" t="s">
        <v>952</v>
      </c>
      <c r="S3" s="11" t="s">
        <v>953</v>
      </c>
      <c r="T3" s="12" t="s">
        <v>954</v>
      </c>
      <c r="W3" s="421">
        <f>(0.7)</f>
        <v>0.7</v>
      </c>
    </row>
    <row r="4" spans="2:20" ht="14.25" thickBot="1">
      <c r="B4" s="1205" t="s">
        <v>268</v>
      </c>
      <c r="C4" s="1254"/>
      <c r="D4" s="1254"/>
      <c r="E4" s="7" t="s">
        <v>141</v>
      </c>
      <c r="F4" s="8">
        <v>120</v>
      </c>
      <c r="G4" s="8"/>
      <c r="H4" s="8"/>
      <c r="I4" s="8"/>
      <c r="J4" s="8">
        <v>14</v>
      </c>
      <c r="K4" s="9"/>
      <c r="N4" s="14">
        <f>P4*0.7</f>
        <v>7887.561499999999</v>
      </c>
      <c r="O4" s="15">
        <f>(P4+N4)/2</f>
        <v>9577.75325</v>
      </c>
      <c r="P4" s="16">
        <f>$Q$4*($F$28+INT(($F$28-$F$25)*$E$31)+INT($F$28*($K$41+$K$50-1)))/100</f>
        <v>11267.945</v>
      </c>
      <c r="Q4" s="421">
        <f>1.3*(4*$J$28+$H$28+$G$28)</f>
        <v>4920.5</v>
      </c>
      <c r="R4" s="14">
        <f>N4*$G$47*(1-$G$44/100)</f>
        <v>5915.671124999999</v>
      </c>
      <c r="S4" s="15">
        <f>O4*$G$47*(1-$G$44/100)</f>
        <v>7183.314937499999</v>
      </c>
      <c r="T4" s="16">
        <f>P4*$G$47*(1-$G$44/100)</f>
        <v>8450.95875</v>
      </c>
    </row>
    <row r="5" spans="2:20" ht="14.25" thickBot="1">
      <c r="B5" s="23"/>
      <c r="C5" s="22"/>
      <c r="D5" s="22"/>
      <c r="E5" s="7" t="s">
        <v>951</v>
      </c>
      <c r="F5" s="8">
        <v>66</v>
      </c>
      <c r="G5" s="8"/>
      <c r="H5" s="8"/>
      <c r="I5" s="8"/>
      <c r="J5" s="8">
        <v>5</v>
      </c>
      <c r="K5" s="9"/>
      <c r="N5" s="121"/>
      <c r="O5" s="121"/>
      <c r="P5" s="121"/>
      <c r="Q5" s="421"/>
      <c r="R5" s="121"/>
      <c r="S5" s="121"/>
      <c r="T5" s="121"/>
    </row>
    <row r="6" spans="2:21" ht="14.25" thickBot="1">
      <c r="B6" s="249" t="s">
        <v>780</v>
      </c>
      <c r="C6" s="587"/>
      <c r="D6" s="250">
        <v>30</v>
      </c>
      <c r="E6" s="43" t="s">
        <v>45</v>
      </c>
      <c r="F6" s="8"/>
      <c r="G6" s="8">
        <v>10</v>
      </c>
      <c r="H6" s="8">
        <v>20</v>
      </c>
      <c r="I6" s="8">
        <v>10</v>
      </c>
      <c r="J6" s="8">
        <v>10</v>
      </c>
      <c r="K6" s="9">
        <v>10</v>
      </c>
      <c r="N6" s="1068" t="s">
        <v>458</v>
      </c>
      <c r="O6" s="1036"/>
      <c r="P6" s="1502">
        <f>F4/(F4+F5)</f>
        <v>0.6451612903225806</v>
      </c>
      <c r="Q6" s="1503"/>
      <c r="R6" s="1068" t="s">
        <v>459</v>
      </c>
      <c r="S6" s="1036"/>
      <c r="T6" s="1502">
        <f>F5/(F4+F5)</f>
        <v>0.3548387096774194</v>
      </c>
      <c r="U6" s="1504"/>
    </row>
    <row r="7" spans="2:21" ht="14.25" thickBot="1">
      <c r="B7" s="252" t="s">
        <v>782</v>
      </c>
      <c r="C7" s="593"/>
      <c r="D7" s="251">
        <v>30</v>
      </c>
      <c r="E7" s="43" t="s">
        <v>46</v>
      </c>
      <c r="F7" s="8"/>
      <c r="G7" s="8"/>
      <c r="H7" s="8">
        <v>7</v>
      </c>
      <c r="I7" s="8"/>
      <c r="J7" s="8"/>
      <c r="K7" s="9"/>
      <c r="O7" s="421">
        <f>R4*$P$6</f>
        <v>3816.5620161290317</v>
      </c>
      <c r="P7" s="421">
        <f>S4*$P$6</f>
        <v>4634.396733870967</v>
      </c>
      <c r="Q7" s="421">
        <f>T4*$P$6</f>
        <v>5452.231451612903</v>
      </c>
      <c r="R7" s="421"/>
      <c r="S7" s="534">
        <f>R4*$T$6</f>
        <v>2099.1091088709672</v>
      </c>
      <c r="T7" s="421">
        <f>S4*$T$6</f>
        <v>2548.918203629032</v>
      </c>
      <c r="U7" s="421">
        <f>T4*$T$6</f>
        <v>2998.7272983870967</v>
      </c>
    </row>
    <row r="8" spans="2:21" ht="14.25" thickBot="1">
      <c r="B8" s="531" t="s">
        <v>1036</v>
      </c>
      <c r="C8" s="589"/>
      <c r="D8" s="9">
        <v>30</v>
      </c>
      <c r="E8" s="43" t="s">
        <v>47</v>
      </c>
      <c r="F8" s="8">
        <v>2</v>
      </c>
      <c r="G8" s="8"/>
      <c r="H8" s="8">
        <v>2</v>
      </c>
      <c r="I8" s="8"/>
      <c r="J8" s="8"/>
      <c r="K8" s="9">
        <v>7</v>
      </c>
      <c r="N8" s="977" t="s">
        <v>496</v>
      </c>
      <c r="O8" s="978"/>
      <c r="P8" s="978"/>
      <c r="Q8" s="978"/>
      <c r="R8" s="978"/>
      <c r="S8" s="978"/>
      <c r="T8" s="978"/>
      <c r="U8" s="979"/>
    </row>
    <row r="9" spans="2:21" ht="14.25" thickBot="1">
      <c r="B9" s="284" t="s">
        <v>776</v>
      </c>
      <c r="C9" s="339"/>
      <c r="D9" s="1510">
        <v>30</v>
      </c>
      <c r="E9" s="43" t="s">
        <v>48</v>
      </c>
      <c r="F9" s="8"/>
      <c r="G9" s="8">
        <v>7</v>
      </c>
      <c r="H9" s="8">
        <v>7</v>
      </c>
      <c r="I9" s="8">
        <v>7</v>
      </c>
      <c r="J9" s="8">
        <v>7</v>
      </c>
      <c r="K9" s="9"/>
      <c r="N9" s="21" t="s">
        <v>37</v>
      </c>
      <c r="O9" s="73">
        <f>D9</f>
        <v>30</v>
      </c>
      <c r="P9" s="1229" t="s">
        <v>51</v>
      </c>
      <c r="Q9" s="1230"/>
      <c r="R9" s="283">
        <f>(1400+20*O9)/100</f>
        <v>20</v>
      </c>
      <c r="S9" s="1497" t="s">
        <v>500</v>
      </c>
      <c r="T9" s="1498"/>
      <c r="U9" s="1499"/>
    </row>
    <row r="10" spans="2:21" ht="14.25" thickBot="1">
      <c r="B10" s="532" t="s">
        <v>497</v>
      </c>
      <c r="C10" s="590"/>
      <c r="D10" s="1511"/>
      <c r="E10" s="43" t="s">
        <v>49</v>
      </c>
      <c r="F10" s="8"/>
      <c r="G10" s="8"/>
      <c r="H10" s="8">
        <v>10</v>
      </c>
      <c r="I10" s="8"/>
      <c r="J10" s="8"/>
      <c r="K10" s="9"/>
      <c r="N10" s="988" t="s">
        <v>107</v>
      </c>
      <c r="O10" s="77" t="s">
        <v>56</v>
      </c>
      <c r="P10" s="554">
        <f>MIN(INT(($R$4*R9)*(1+$B$33+$E$33+$B$51)),ReadMe!$M$94)</f>
        <v>118313</v>
      </c>
      <c r="Q10" s="975" t="s">
        <v>406</v>
      </c>
      <c r="R10" s="194" t="s">
        <v>56</v>
      </c>
      <c r="S10" s="160">
        <f>MIN(INT(P10*$E$41),ReadMe!$M$94)</f>
        <v>177469</v>
      </c>
      <c r="T10" s="1432" t="s">
        <v>127</v>
      </c>
      <c r="U10" s="1408">
        <f>INT(P11*(1-$G$41)+S11*$G$41)</f>
        <v>161624</v>
      </c>
    </row>
    <row r="11" spans="1:21" ht="13.5">
      <c r="A11" s="421"/>
      <c r="B11" s="550" t="s">
        <v>655</v>
      </c>
      <c r="C11" s="594"/>
      <c r="D11" s="503"/>
      <c r="E11" s="43" t="s">
        <v>390</v>
      </c>
      <c r="F11" s="8"/>
      <c r="G11" s="8"/>
      <c r="H11" s="8"/>
      <c r="I11" s="8"/>
      <c r="J11" s="8"/>
      <c r="K11" s="9"/>
      <c r="N11" s="1051"/>
      <c r="O11" s="44" t="s">
        <v>57</v>
      </c>
      <c r="P11" s="555">
        <f>INT((P10+P12)/2)</f>
        <v>143666</v>
      </c>
      <c r="Q11" s="1069"/>
      <c r="R11" s="80" t="s">
        <v>57</v>
      </c>
      <c r="S11" s="161">
        <f>INT((S10+S12)/2)</f>
        <v>215498</v>
      </c>
      <c r="T11" s="1433"/>
      <c r="U11" s="1409"/>
    </row>
    <row r="12" spans="1:21" ht="14.25" thickBot="1">
      <c r="A12" s="421" t="b">
        <v>1</v>
      </c>
      <c r="B12" s="595" t="s">
        <v>656</v>
      </c>
      <c r="C12" s="218"/>
      <c r="D12" s="596"/>
      <c r="E12" s="43" t="s">
        <v>339</v>
      </c>
      <c r="F12" s="8"/>
      <c r="G12" s="8"/>
      <c r="H12" s="8">
        <v>1</v>
      </c>
      <c r="I12" s="8"/>
      <c r="J12" s="8">
        <v>20</v>
      </c>
      <c r="K12" s="9"/>
      <c r="N12" s="989"/>
      <c r="O12" s="15" t="s">
        <v>58</v>
      </c>
      <c r="P12" s="556">
        <f>MIN(INT(($T$4*R9)*(1+$B$33+$E$33+$B$51)),ReadMe!$M$94)</f>
        <v>169019</v>
      </c>
      <c r="Q12" s="1238"/>
      <c r="R12" s="268" t="s">
        <v>58</v>
      </c>
      <c r="S12" s="270">
        <f>MIN(INT(P12*$F$41),ReadMe!$M$94)</f>
        <v>253528</v>
      </c>
      <c r="T12" s="1496"/>
      <c r="U12" s="1495"/>
    </row>
    <row r="13" spans="1:21" ht="14.25" customHeight="1" thickBot="1">
      <c r="A13" s="421" t="str">
        <f>IF(A12=TRUE,"TRUE",IF(D13=1,"TRUE","FLASE"))</f>
        <v>TRUE</v>
      </c>
      <c r="B13" s="245" t="s">
        <v>499</v>
      </c>
      <c r="C13" s="591"/>
      <c r="D13" s="533"/>
      <c r="E13" s="43" t="s">
        <v>389</v>
      </c>
      <c r="F13" s="8"/>
      <c r="G13" s="8"/>
      <c r="H13" s="8">
        <v>13</v>
      </c>
      <c r="I13" s="8"/>
      <c r="J13" s="8">
        <v>5</v>
      </c>
      <c r="K13" s="9"/>
      <c r="N13" s="988" t="s">
        <v>317</v>
      </c>
      <c r="O13" s="77" t="s">
        <v>56</v>
      </c>
      <c r="P13" s="554">
        <f>INT(P10*$W$3)</f>
        <v>82819</v>
      </c>
      <c r="Q13" s="1023" t="s">
        <v>498</v>
      </c>
      <c r="R13" s="1024"/>
      <c r="S13" s="1024"/>
      <c r="T13" s="500" t="s">
        <v>56</v>
      </c>
      <c r="U13" s="560">
        <f>P10+P13</f>
        <v>201132</v>
      </c>
    </row>
    <row r="14" spans="1:21" ht="13.5">
      <c r="A14" s="421" t="b">
        <v>1</v>
      </c>
      <c r="B14" s="1231" t="s">
        <v>924</v>
      </c>
      <c r="C14" s="1232"/>
      <c r="D14" s="9">
        <v>30</v>
      </c>
      <c r="E14" s="43" t="s">
        <v>59</v>
      </c>
      <c r="F14" s="8"/>
      <c r="G14" s="8"/>
      <c r="H14" s="8">
        <v>15</v>
      </c>
      <c r="I14" s="8"/>
      <c r="J14" s="8">
        <v>3</v>
      </c>
      <c r="K14" s="9">
        <v>1</v>
      </c>
      <c r="N14" s="1051"/>
      <c r="O14" s="44" t="s">
        <v>57</v>
      </c>
      <c r="P14" s="555">
        <f>INT(P11*$W$3)</f>
        <v>100566</v>
      </c>
      <c r="Q14" s="1334"/>
      <c r="R14" s="1335"/>
      <c r="S14" s="1335"/>
      <c r="T14" s="501" t="s">
        <v>140</v>
      </c>
      <c r="U14" s="741">
        <f>U10+P14</f>
        <v>262190</v>
      </c>
    </row>
    <row r="15" spans="1:21" ht="14.25" thickBot="1">
      <c r="A15" s="421" t="str">
        <f>IF(A14=TRUE,"TRUE",IF(D15=1,"TRUE","FLASE"))</f>
        <v>TRUE</v>
      </c>
      <c r="B15" s="14" t="s">
        <v>925</v>
      </c>
      <c r="C15" s="15"/>
      <c r="D15" s="533"/>
      <c r="E15" s="43" t="s">
        <v>60</v>
      </c>
      <c r="F15" s="8">
        <v>15</v>
      </c>
      <c r="G15" s="8"/>
      <c r="H15" s="8"/>
      <c r="I15" s="8"/>
      <c r="J15" s="8"/>
      <c r="K15" s="9"/>
      <c r="N15" s="989"/>
      <c r="O15" s="15" t="s">
        <v>58</v>
      </c>
      <c r="P15" s="556">
        <f>INT(P12*$W$3)</f>
        <v>118313</v>
      </c>
      <c r="Q15" s="1276"/>
      <c r="R15" s="1336"/>
      <c r="S15" s="1336"/>
      <c r="T15" s="14" t="s">
        <v>58</v>
      </c>
      <c r="U15" s="742">
        <f>S12+P15</f>
        <v>371841</v>
      </c>
    </row>
    <row r="16" spans="2:20" ht="13.5">
      <c r="B16" s="23"/>
      <c r="C16" s="22"/>
      <c r="D16" s="143"/>
      <c r="E16" s="43" t="s">
        <v>61</v>
      </c>
      <c r="F16" s="8">
        <v>4</v>
      </c>
      <c r="G16" s="8"/>
      <c r="H16" s="8"/>
      <c r="I16" s="8"/>
      <c r="J16" s="8">
        <v>8</v>
      </c>
      <c r="K16" s="9"/>
      <c r="N16" s="1516" t="s">
        <v>446</v>
      </c>
      <c r="O16" s="1517"/>
      <c r="P16" s="739">
        <f>150-2*O9</f>
        <v>90</v>
      </c>
      <c r="Q16" s="1512" t="s">
        <v>551</v>
      </c>
      <c r="R16" s="1513"/>
      <c r="S16" s="759">
        <f>(140+2*O9)/100</f>
        <v>2</v>
      </c>
      <c r="T16" s="421">
        <f>IF(A13="true",S16,1)</f>
        <v>2</v>
      </c>
    </row>
    <row r="17" spans="2:19" ht="14.25" thickBot="1">
      <c r="B17" s="23"/>
      <c r="C17" s="22"/>
      <c r="D17" s="143"/>
      <c r="E17" s="43" t="s">
        <v>1059</v>
      </c>
      <c r="F17" s="8"/>
      <c r="G17" s="8">
        <v>3</v>
      </c>
      <c r="H17" s="8">
        <v>3</v>
      </c>
      <c r="I17" s="8">
        <v>3</v>
      </c>
      <c r="J17" s="8">
        <v>3</v>
      </c>
      <c r="K17" s="9"/>
      <c r="N17" s="1514" t="s">
        <v>545</v>
      </c>
      <c r="O17" s="1515"/>
      <c r="P17" s="740">
        <f>20+4*INT(O9/5)</f>
        <v>44</v>
      </c>
      <c r="Q17" s="1378" t="s">
        <v>318</v>
      </c>
      <c r="R17" s="1378"/>
      <c r="S17" s="738">
        <f>IF(A13="true",1+(P17/P16),1)</f>
        <v>1.488888888888889</v>
      </c>
    </row>
    <row r="18" spans="2:11" ht="14.25" thickBot="1">
      <c r="B18" s="23"/>
      <c r="C18" s="22"/>
      <c r="D18" s="143"/>
      <c r="E18" s="43" t="s">
        <v>1059</v>
      </c>
      <c r="F18" s="8">
        <v>1</v>
      </c>
      <c r="G18" s="8">
        <v>1</v>
      </c>
      <c r="H18" s="8">
        <v>1</v>
      </c>
      <c r="I18" s="8">
        <v>1</v>
      </c>
      <c r="J18" s="8">
        <v>1</v>
      </c>
      <c r="K18" s="9"/>
    </row>
    <row r="19" spans="2:21" ht="14.25" thickBot="1">
      <c r="B19" s="23"/>
      <c r="C19" s="22"/>
      <c r="D19" s="143"/>
      <c r="E19" s="43" t="s">
        <v>1059</v>
      </c>
      <c r="F19" s="8">
        <v>1</v>
      </c>
      <c r="G19" s="8">
        <v>1</v>
      </c>
      <c r="H19" s="8">
        <v>1</v>
      </c>
      <c r="I19" s="8">
        <v>1</v>
      </c>
      <c r="J19" s="8">
        <v>1</v>
      </c>
      <c r="K19" s="9"/>
      <c r="N19" s="977" t="s">
        <v>955</v>
      </c>
      <c r="O19" s="978"/>
      <c r="P19" s="978"/>
      <c r="Q19" s="978"/>
      <c r="R19" s="978"/>
      <c r="S19" s="978"/>
      <c r="T19" s="978"/>
      <c r="U19" s="979"/>
    </row>
    <row r="20" spans="2:21" ht="14.25" thickBot="1">
      <c r="B20" s="23"/>
      <c r="C20" s="22"/>
      <c r="D20" s="143"/>
      <c r="E20" s="43" t="s">
        <v>1059</v>
      </c>
      <c r="F20" s="8"/>
      <c r="G20" s="8"/>
      <c r="H20" s="8"/>
      <c r="I20" s="8"/>
      <c r="J20" s="8"/>
      <c r="K20" s="9"/>
      <c r="N20" s="282" t="s">
        <v>227</v>
      </c>
      <c r="O20" s="84">
        <v>20</v>
      </c>
      <c r="P20" s="1115" t="s">
        <v>51</v>
      </c>
      <c r="Q20" s="1230"/>
      <c r="R20" s="704">
        <f>1.1*IF($D$9&gt;0,1+(5+2*INT($D$9/3))/100,1)</f>
        <v>1.375</v>
      </c>
      <c r="S20" s="1500" t="s">
        <v>199</v>
      </c>
      <c r="T20" s="1501"/>
      <c r="U20" s="83">
        <v>49</v>
      </c>
    </row>
    <row r="21" spans="2:21" ht="13.5">
      <c r="B21" s="23"/>
      <c r="C21" s="22"/>
      <c r="D21" s="143"/>
      <c r="E21" s="43" t="s">
        <v>970</v>
      </c>
      <c r="F21" s="8"/>
      <c r="G21" s="8">
        <v>2</v>
      </c>
      <c r="H21" s="8">
        <v>2</v>
      </c>
      <c r="I21" s="8">
        <v>2</v>
      </c>
      <c r="J21" s="8">
        <v>2</v>
      </c>
      <c r="K21" s="9"/>
      <c r="N21" s="744" t="s">
        <v>141</v>
      </c>
      <c r="O21" s="77" t="s">
        <v>56</v>
      </c>
      <c r="P21" s="554">
        <f>MIN(INT(($O$7*R20*$T$16)*(1+$B$33+$E$33+$B$51)),ReadMe!$M$94)</f>
        <v>10495</v>
      </c>
      <c r="Q21" s="975" t="s">
        <v>406</v>
      </c>
      <c r="R21" s="194" t="s">
        <v>56</v>
      </c>
      <c r="S21" s="160">
        <f>MIN(INT(P21*$E$41),ReadMe!$M$94)</f>
        <v>15742</v>
      </c>
      <c r="T21" s="1432" t="s">
        <v>127</v>
      </c>
      <c r="U21" s="1408">
        <f>INT(P22*(1-$G$41)+S22*$G$41)</f>
        <v>14336</v>
      </c>
    </row>
    <row r="22" spans="2:21" ht="13.5">
      <c r="B22" s="154"/>
      <c r="C22" s="60"/>
      <c r="D22" s="510"/>
      <c r="E22" s="43" t="s">
        <v>1043</v>
      </c>
      <c r="F22" s="8"/>
      <c r="G22" s="8">
        <v>3</v>
      </c>
      <c r="H22" s="8">
        <v>3</v>
      </c>
      <c r="I22" s="8">
        <v>3</v>
      </c>
      <c r="J22" s="8">
        <v>3</v>
      </c>
      <c r="K22" s="9"/>
      <c r="N22" s="269" t="s">
        <v>112</v>
      </c>
      <c r="O22" s="44" t="s">
        <v>57</v>
      </c>
      <c r="P22" s="555">
        <f>INT((P21+P23)/2)</f>
        <v>12744</v>
      </c>
      <c r="Q22" s="1069"/>
      <c r="R22" s="80" t="s">
        <v>57</v>
      </c>
      <c r="S22" s="161">
        <f>INT((S21+S23)/2)</f>
        <v>19115</v>
      </c>
      <c r="T22" s="1433"/>
      <c r="U22" s="1409"/>
    </row>
    <row r="23" spans="2:21" ht="14.25" thickBot="1">
      <c r="B23" s="141"/>
      <c r="C23" s="58"/>
      <c r="D23" s="144"/>
      <c r="E23" s="43" t="s">
        <v>1210</v>
      </c>
      <c r="F23" s="8"/>
      <c r="G23" s="8"/>
      <c r="H23" s="8"/>
      <c r="I23" s="8"/>
      <c r="J23" s="8"/>
      <c r="K23" s="9"/>
      <c r="N23" s="745" t="s">
        <v>79</v>
      </c>
      <c r="O23" s="15" t="s">
        <v>58</v>
      </c>
      <c r="P23" s="556">
        <f>MIN(INT(($Q$7*R20*$T$16)*(1+$B$33+$E$33+$B$51)),ReadMe!$M$94)</f>
        <v>14993</v>
      </c>
      <c r="Q23" s="1238"/>
      <c r="R23" s="268" t="s">
        <v>58</v>
      </c>
      <c r="S23" s="270">
        <f>MIN(INT(P23*$F$41),ReadMe!$M$94)</f>
        <v>22489</v>
      </c>
      <c r="T23" s="1496"/>
      <c r="U23" s="1495"/>
    </row>
    <row r="24" spans="2:21" ht="13.5" customHeight="1">
      <c r="B24" s="141"/>
      <c r="C24" s="58"/>
      <c r="D24" s="498"/>
      <c r="E24" s="43" t="s">
        <v>1044</v>
      </c>
      <c r="F24" s="8"/>
      <c r="G24" s="8"/>
      <c r="H24" s="8"/>
      <c r="I24" s="8"/>
      <c r="J24" s="8"/>
      <c r="K24" s="9"/>
      <c r="N24" s="744" t="s">
        <v>80</v>
      </c>
      <c r="O24" s="77" t="s">
        <v>56</v>
      </c>
      <c r="P24" s="554">
        <f>MIN(INT(($S$7*R20*$T$16)*(1+$B$33+$E$33+$B$51)),ReadMe!$M$94)</f>
        <v>5772</v>
      </c>
      <c r="Q24" s="975" t="s">
        <v>406</v>
      </c>
      <c r="R24" s="194" t="s">
        <v>56</v>
      </c>
      <c r="S24" s="160">
        <f>MIN(INT(P24*$E$41),ReadMe!$M$94)</f>
        <v>8658</v>
      </c>
      <c r="T24" s="1432" t="s">
        <v>127</v>
      </c>
      <c r="U24" s="1408">
        <f>INT(P25*(1-$G$41)+S25*$G$41)</f>
        <v>7885</v>
      </c>
    </row>
    <row r="25" spans="2:21" ht="14.25" thickBot="1">
      <c r="B25" s="145"/>
      <c r="C25" s="592"/>
      <c r="D25" s="146"/>
      <c r="E25" s="43" t="s">
        <v>823</v>
      </c>
      <c r="F25" s="8">
        <v>20</v>
      </c>
      <c r="G25" s="8"/>
      <c r="H25" s="8"/>
      <c r="I25" s="8"/>
      <c r="J25" s="8"/>
      <c r="K25" s="9"/>
      <c r="N25" s="269" t="s">
        <v>112</v>
      </c>
      <c r="O25" s="44" t="s">
        <v>57</v>
      </c>
      <c r="P25" s="555">
        <f>INT((P24+P26)/2)</f>
        <v>7009</v>
      </c>
      <c r="Q25" s="1069"/>
      <c r="R25" s="80" t="s">
        <v>57</v>
      </c>
      <c r="S25" s="161">
        <f>INT((S24+S26)/2)</f>
        <v>10513</v>
      </c>
      <c r="T25" s="1433"/>
      <c r="U25" s="1409"/>
    </row>
    <row r="26" spans="2:21" ht="14.25" thickBot="1">
      <c r="B26" s="1245" t="s">
        <v>1045</v>
      </c>
      <c r="C26" s="1246"/>
      <c r="D26" s="20">
        <v>9</v>
      </c>
      <c r="E26" s="235" t="s">
        <v>1046</v>
      </c>
      <c r="F26" s="8"/>
      <c r="G26" s="41">
        <f>ROUNDDOWN(G3*D27%,0)</f>
        <v>0</v>
      </c>
      <c r="H26" s="41">
        <f>ROUNDDOWN(H3*D27%,0)</f>
        <v>3</v>
      </c>
      <c r="I26" s="41">
        <f>ROUNDDOWN(I3*D27%,0)</f>
        <v>0</v>
      </c>
      <c r="J26" s="41">
        <f>ROUNDDOWN(J3*D27%,0)</f>
        <v>35</v>
      </c>
      <c r="K26" s="9">
        <v>20</v>
      </c>
      <c r="N26" s="745" t="s">
        <v>81</v>
      </c>
      <c r="O26" s="15" t="s">
        <v>58</v>
      </c>
      <c r="P26" s="556">
        <f>MIN(INT(($U$7*R20*$T$16)*(1+$B$33+$E$33+$B$51)),ReadMe!$M$94)</f>
        <v>8246</v>
      </c>
      <c r="Q26" s="1238"/>
      <c r="R26" s="268" t="s">
        <v>58</v>
      </c>
      <c r="S26" s="270">
        <f>MIN(INT(P26*$F$41),ReadMe!$M$94)</f>
        <v>12369</v>
      </c>
      <c r="T26" s="1496"/>
      <c r="U26" s="1495"/>
    </row>
    <row r="27" spans="2:21" ht="14.25" thickBot="1">
      <c r="B27" s="14" t="s">
        <v>62</v>
      </c>
      <c r="C27" s="571"/>
      <c r="D27" s="47">
        <f>ROUNDUP(D26/2,0)</f>
        <v>5</v>
      </c>
      <c r="E27" s="7" t="s">
        <v>63</v>
      </c>
      <c r="F27" s="44">
        <f>D28</f>
        <v>0</v>
      </c>
      <c r="G27" s="44">
        <f>SUM(G4:G25)</f>
        <v>27</v>
      </c>
      <c r="H27" s="44">
        <f>SUM(H4:H25)</f>
        <v>85</v>
      </c>
      <c r="I27" s="44">
        <f>SUM(I4:I25)</f>
        <v>27</v>
      </c>
      <c r="J27" s="44">
        <f>SUM(J4:J25)</f>
        <v>82</v>
      </c>
      <c r="K27" s="45">
        <f>SUM(K3:K26)+D28</f>
        <v>38</v>
      </c>
      <c r="N27" s="744" t="s">
        <v>141</v>
      </c>
      <c r="O27" s="77" t="s">
        <v>56</v>
      </c>
      <c r="P27" s="554">
        <f>INT(P21/$T$16*$W$3)</f>
        <v>3673</v>
      </c>
      <c r="Q27" s="744" t="s">
        <v>80</v>
      </c>
      <c r="R27" s="77" t="s">
        <v>56</v>
      </c>
      <c r="S27" s="214">
        <f>INT(P24/$T$16*$W$3)</f>
        <v>2020</v>
      </c>
      <c r="T27" s="1488" t="s">
        <v>82</v>
      </c>
      <c r="U27" s="4">
        <f>(P21+P24)*4+P27*4+S27*3</f>
        <v>85820</v>
      </c>
    </row>
    <row r="28" spans="2:21" ht="14.25" thickBot="1">
      <c r="B28" s="17" t="s">
        <v>1024</v>
      </c>
      <c r="C28" s="210"/>
      <c r="D28" s="332">
        <v>0</v>
      </c>
      <c r="E28" s="14" t="s">
        <v>55</v>
      </c>
      <c r="F28" s="49">
        <f>SUM(F4:F27)</f>
        <v>229</v>
      </c>
      <c r="G28" s="579">
        <f>INT((G3+G26+G27)*(1+G31))</f>
        <v>31</v>
      </c>
      <c r="H28" s="579">
        <f>INT((H3+H26+H27)*(1+H31))</f>
        <v>150</v>
      </c>
      <c r="I28" s="579">
        <f>INT((I3+I26+I27)*(1+I31))</f>
        <v>31</v>
      </c>
      <c r="J28" s="579">
        <f>INT((J3+J26+J27)*(1+J31))</f>
        <v>901</v>
      </c>
      <c r="K28" s="580">
        <f>($J$28+$H$28*1.2+K27)*(1+K31)</f>
        <v>1119</v>
      </c>
      <c r="N28" s="269" t="s">
        <v>78</v>
      </c>
      <c r="O28" s="44" t="s">
        <v>57</v>
      </c>
      <c r="P28" s="555">
        <f>INT(P22/$T$16*$W$3)</f>
        <v>4460</v>
      </c>
      <c r="Q28" s="269" t="s">
        <v>78</v>
      </c>
      <c r="R28" s="44" t="s">
        <v>57</v>
      </c>
      <c r="S28" s="215">
        <f>INT(P25/$T$16*$W$3)</f>
        <v>2453</v>
      </c>
      <c r="T28" s="1489"/>
      <c r="U28" s="668">
        <f>(U21+U24)*4+P28*4+S28*3</f>
        <v>114083</v>
      </c>
    </row>
    <row r="29" spans="2:21" ht="14.25" thickBot="1">
      <c r="B29" s="1068" t="s">
        <v>645</v>
      </c>
      <c r="C29" s="1036"/>
      <c r="D29" s="1036"/>
      <c r="E29" s="1036"/>
      <c r="F29" s="1036"/>
      <c r="G29" s="1036"/>
      <c r="H29" s="1036"/>
      <c r="I29" s="1036"/>
      <c r="J29" s="1036"/>
      <c r="K29" s="1037"/>
      <c r="N29" s="745"/>
      <c r="O29" s="15" t="s">
        <v>58</v>
      </c>
      <c r="P29" s="556">
        <f>INT(P23/$T$16*$W$3)</f>
        <v>5247</v>
      </c>
      <c r="Q29" s="745"/>
      <c r="R29" s="15" t="s">
        <v>58</v>
      </c>
      <c r="S29" s="216">
        <f>INT(P26/$T$16*$W$3)</f>
        <v>2886</v>
      </c>
      <c r="T29" s="1491"/>
      <c r="U29" s="16">
        <f>(S23+S26)*4+P29*4+S29*3</f>
        <v>169078</v>
      </c>
    </row>
    <row r="30" spans="2:21" ht="14.25" customHeight="1" thickBot="1">
      <c r="B30" s="1085" t="s">
        <v>443</v>
      </c>
      <c r="C30" s="1086"/>
      <c r="D30" s="1087"/>
      <c r="E30" s="1038" t="s">
        <v>646</v>
      </c>
      <c r="F30" s="1039"/>
      <c r="G30" s="1" t="s">
        <v>650</v>
      </c>
      <c r="H30" s="3" t="s">
        <v>649</v>
      </c>
      <c r="I30" s="3" t="s">
        <v>648</v>
      </c>
      <c r="J30" s="3" t="s">
        <v>647</v>
      </c>
      <c r="K30" s="4" t="s">
        <v>651</v>
      </c>
      <c r="N30" s="1492" t="s">
        <v>83</v>
      </c>
      <c r="O30" s="1493"/>
      <c r="P30" s="1493"/>
      <c r="Q30" s="1494"/>
      <c r="R30" s="1310">
        <f>((U21+U24)/$T$16*4+P28*4+S28*3)*$S$17*U20*$G$46+IF(A15="true",O101,0)</f>
        <v>6027197.844444444</v>
      </c>
      <c r="S30" s="1311"/>
      <c r="T30" s="1311"/>
      <c r="U30" s="1358"/>
    </row>
    <row r="31" spans="2:11" ht="14.25" thickBot="1">
      <c r="B31" s="1091">
        <v>0</v>
      </c>
      <c r="C31" s="1132"/>
      <c r="D31" s="1093"/>
      <c r="E31" s="1040">
        <v>0</v>
      </c>
      <c r="F31" s="1032"/>
      <c r="G31" s="575">
        <v>0</v>
      </c>
      <c r="H31" s="576">
        <v>0</v>
      </c>
      <c r="I31" s="576">
        <v>0</v>
      </c>
      <c r="J31" s="576">
        <v>0.09</v>
      </c>
      <c r="K31" s="577">
        <v>0</v>
      </c>
    </row>
    <row r="32" spans="2:21" ht="14.25" customHeight="1" thickBot="1">
      <c r="B32" s="1088" t="s">
        <v>644</v>
      </c>
      <c r="C32" s="1089"/>
      <c r="D32" s="1090"/>
      <c r="E32" s="984" t="s">
        <v>551</v>
      </c>
      <c r="F32" s="976"/>
      <c r="N32" s="977" t="s">
        <v>457</v>
      </c>
      <c r="O32" s="978"/>
      <c r="P32" s="978"/>
      <c r="Q32" s="978"/>
      <c r="R32" s="978"/>
      <c r="S32" s="978"/>
      <c r="T32" s="301" t="s">
        <v>1096</v>
      </c>
      <c r="U32" s="302">
        <f>(5+ROUNDUP($O$33/2,0))/100</f>
        <v>0.2</v>
      </c>
    </row>
    <row r="33" spans="2:21" ht="14.25" customHeight="1" thickBot="1">
      <c r="B33" s="1091">
        <v>0</v>
      </c>
      <c r="C33" s="1092"/>
      <c r="D33" s="1093"/>
      <c r="E33" s="1040">
        <v>0</v>
      </c>
      <c r="F33" s="1032"/>
      <c r="N33" s="282" t="s">
        <v>227</v>
      </c>
      <c r="O33" s="84">
        <f>D6</f>
        <v>30</v>
      </c>
      <c r="P33" s="1115" t="s">
        <v>51</v>
      </c>
      <c r="Q33" s="1230"/>
      <c r="R33" s="76">
        <f>(D6*2+225)/100</f>
        <v>2.85</v>
      </c>
      <c r="S33" s="1500" t="s">
        <v>199</v>
      </c>
      <c r="T33" s="1505"/>
      <c r="U33" s="375">
        <v>20</v>
      </c>
    </row>
    <row r="34" spans="14:21" ht="14.25" customHeight="1" thickBot="1">
      <c r="N34" s="744" t="s">
        <v>141</v>
      </c>
      <c r="O34" s="77" t="s">
        <v>56</v>
      </c>
      <c r="P34" s="554">
        <f>MIN(INT(($O$7*R33*$T$16)*(1+$B$33+$E$33+$B$51)),ReadMe!$M$94)</f>
        <v>21754</v>
      </c>
      <c r="Q34" s="975" t="s">
        <v>406</v>
      </c>
      <c r="R34" s="194" t="s">
        <v>56</v>
      </c>
      <c r="S34" s="160">
        <f>MIN(INT(P34*$E$41),ReadMe!$M$94)</f>
        <v>32631</v>
      </c>
      <c r="T34" s="1432" t="s">
        <v>127</v>
      </c>
      <c r="U34" s="1408">
        <f>INT(P35*(1-($G$41+U32))+S35*($G$41+U32))</f>
        <v>32358</v>
      </c>
    </row>
    <row r="35" spans="2:21" ht="14.25" customHeight="1" thickBot="1">
      <c r="B35" s="1047" t="s">
        <v>1120</v>
      </c>
      <c r="C35" s="1048"/>
      <c r="D35" s="1048"/>
      <c r="E35" s="535" t="s">
        <v>56</v>
      </c>
      <c r="F35" s="19" t="s">
        <v>58</v>
      </c>
      <c r="G35" s="536" t="s">
        <v>750</v>
      </c>
      <c r="I35" s="1041" t="s">
        <v>218</v>
      </c>
      <c r="J35" s="1042"/>
      <c r="K35" s="1043"/>
      <c r="N35" s="269" t="s">
        <v>112</v>
      </c>
      <c r="O35" s="44" t="s">
        <v>57</v>
      </c>
      <c r="P35" s="555">
        <f>INT((P34+P36)/2)</f>
        <v>26415</v>
      </c>
      <c r="Q35" s="1069"/>
      <c r="R35" s="80" t="s">
        <v>57</v>
      </c>
      <c r="S35" s="161">
        <f>INT((S34+S36)/2)</f>
        <v>39623</v>
      </c>
      <c r="T35" s="1433"/>
      <c r="U35" s="1409"/>
    </row>
    <row r="36" spans="2:21" ht="14.25" customHeight="1" thickBot="1">
      <c r="B36" s="1133" t="s">
        <v>1122</v>
      </c>
      <c r="C36" s="1134"/>
      <c r="D36" s="1135"/>
      <c r="E36" s="36">
        <v>1.2</v>
      </c>
      <c r="F36" s="539">
        <v>1.5</v>
      </c>
      <c r="G36" s="260">
        <v>0.05</v>
      </c>
      <c r="I36" s="1041" t="s">
        <v>220</v>
      </c>
      <c r="J36" s="1053"/>
      <c r="K36" s="1054"/>
      <c r="N36" s="745" t="s">
        <v>79</v>
      </c>
      <c r="O36" s="15" t="s">
        <v>58</v>
      </c>
      <c r="P36" s="556">
        <f>MIN(INT(($Q$7*R33*$T$16)*(1+$B$33+$E$33+$B$51)),ReadMe!$M$94)</f>
        <v>31077</v>
      </c>
      <c r="Q36" s="1238"/>
      <c r="R36" s="268" t="s">
        <v>58</v>
      </c>
      <c r="S36" s="270">
        <f>MIN(INT(P36*$F$41),ReadMe!$M$94)</f>
        <v>46615</v>
      </c>
      <c r="T36" s="1496"/>
      <c r="U36" s="1495"/>
    </row>
    <row r="37" spans="2:21" ht="14.25" customHeight="1" thickBot="1">
      <c r="B37" s="1051" t="s">
        <v>1117</v>
      </c>
      <c r="C37" s="1052"/>
      <c r="D37" s="548">
        <v>0</v>
      </c>
      <c r="E37" s="538"/>
      <c r="F37" s="537">
        <f>D37/100</f>
        <v>0</v>
      </c>
      <c r="G37" s="543">
        <f>IF(D37=0,0,(5+ROUNDUP(D37/2,0))/100)</f>
        <v>0</v>
      </c>
      <c r="I37" s="871" t="s">
        <v>217</v>
      </c>
      <c r="J37" s="224"/>
      <c r="K37" s="247">
        <v>0</v>
      </c>
      <c r="N37" s="744" t="s">
        <v>80</v>
      </c>
      <c r="O37" s="77" t="s">
        <v>56</v>
      </c>
      <c r="P37" s="554">
        <f>MIN(INT(($S$7*R33*$T$16)*(1+$B$33+$E$33+$B$51)),ReadMe!$M$94)</f>
        <v>11964</v>
      </c>
      <c r="Q37" s="975" t="s">
        <v>406</v>
      </c>
      <c r="R37" s="194" t="s">
        <v>56</v>
      </c>
      <c r="S37" s="160">
        <f>MIN(INT(P37*$E$41),ReadMe!$M$94)</f>
        <v>17946</v>
      </c>
      <c r="T37" s="1432" t="s">
        <v>127</v>
      </c>
      <c r="U37" s="1408">
        <f>INT(P38*(1-($G$41+U32))+S38*($G$41+U32))</f>
        <v>17796</v>
      </c>
    </row>
    <row r="38" spans="2:21" ht="14.25" customHeight="1" thickBot="1">
      <c r="B38" s="1051" t="s">
        <v>1118</v>
      </c>
      <c r="C38" s="1052"/>
      <c r="D38" s="548">
        <v>30</v>
      </c>
      <c r="E38" s="538">
        <f>D38/100</f>
        <v>0.3</v>
      </c>
      <c r="F38" s="537"/>
      <c r="G38" s="543">
        <f>IF(D38=0,0,(5+ROUNDUP(D38/2,0))/100)</f>
        <v>0.2</v>
      </c>
      <c r="N38" s="269" t="s">
        <v>112</v>
      </c>
      <c r="O38" s="44" t="s">
        <v>57</v>
      </c>
      <c r="P38" s="555">
        <f>INT((P37+P39)/2)</f>
        <v>14528</v>
      </c>
      <c r="Q38" s="1069"/>
      <c r="R38" s="80" t="s">
        <v>57</v>
      </c>
      <c r="S38" s="161">
        <f>INT((S37+S39)/2)</f>
        <v>21792</v>
      </c>
      <c r="T38" s="1433"/>
      <c r="U38" s="1409"/>
    </row>
    <row r="39" spans="1:21" ht="14.25" customHeight="1" thickBot="1">
      <c r="A39" s="421" t="b">
        <v>0</v>
      </c>
      <c r="B39" s="1051" t="s">
        <v>1119</v>
      </c>
      <c r="C39" s="1052"/>
      <c r="D39" s="544"/>
      <c r="E39" s="538"/>
      <c r="F39" s="537">
        <f>IF(H39="true",0.15,0)</f>
        <v>0</v>
      </c>
      <c r="G39" s="543">
        <f>IF(H39="true",0.1,0)</f>
        <v>0</v>
      </c>
      <c r="H39" s="421" t="str">
        <f>IF(A39=TRUE,"TRUE",IF(D39=1,"TRUE","FLASE"))</f>
        <v>FLASE</v>
      </c>
      <c r="I39" s="1058" t="s">
        <v>1163</v>
      </c>
      <c r="J39" s="1059"/>
      <c r="K39" s="896"/>
      <c r="L39" s="421" t="b">
        <v>0</v>
      </c>
      <c r="M39" s="514" t="str">
        <f>IF(L39=TRUE,"TRUE",IF(K39=1,"TRUE","FLASE"))</f>
        <v>FLASE</v>
      </c>
      <c r="N39" s="745" t="s">
        <v>81</v>
      </c>
      <c r="O39" s="15" t="s">
        <v>58</v>
      </c>
      <c r="P39" s="556">
        <f>MIN(INT(($U$7*R33*$T$16)*(1+$B$33+$E$33+$B$51)),ReadMe!$M$94)</f>
        <v>17092</v>
      </c>
      <c r="Q39" s="1238"/>
      <c r="R39" s="268" t="s">
        <v>58</v>
      </c>
      <c r="S39" s="270">
        <f>MIN(INT(P39*$F$41),ReadMe!$M$94)</f>
        <v>25638</v>
      </c>
      <c r="T39" s="1496"/>
      <c r="U39" s="1495"/>
    </row>
    <row r="40" spans="2:21" ht="14.25" customHeight="1" thickBot="1">
      <c r="B40" s="1055" t="s">
        <v>1121</v>
      </c>
      <c r="C40" s="1056"/>
      <c r="D40" s="1057"/>
      <c r="E40" s="545">
        <v>0</v>
      </c>
      <c r="F40" s="546">
        <v>0</v>
      </c>
      <c r="G40" s="547">
        <v>0</v>
      </c>
      <c r="I40" s="637" t="s">
        <v>787</v>
      </c>
      <c r="J40" s="893"/>
      <c r="K40" s="894">
        <v>0</v>
      </c>
      <c r="N40" s="744" t="s">
        <v>141</v>
      </c>
      <c r="O40" s="77" t="s">
        <v>56</v>
      </c>
      <c r="P40" s="554">
        <f>INT(P34/$T$16*$W$3)</f>
        <v>7613</v>
      </c>
      <c r="Q40" s="744" t="s">
        <v>80</v>
      </c>
      <c r="R40" s="77" t="s">
        <v>56</v>
      </c>
      <c r="S40" s="214">
        <f>INT(P37/$T$16*$W$3)</f>
        <v>4187</v>
      </c>
      <c r="T40" s="1488" t="s">
        <v>82</v>
      </c>
      <c r="U40" s="4">
        <f>(P34+P37)*5+P40*3+S40*2</f>
        <v>199803</v>
      </c>
    </row>
    <row r="41" spans="2:25" ht="14.25" thickBot="1">
      <c r="B41" s="1044" t="s">
        <v>1123</v>
      </c>
      <c r="C41" s="1045"/>
      <c r="D41" s="1046"/>
      <c r="E41" s="540">
        <f>E36+MAX(E38,E39)+E40</f>
        <v>1.5</v>
      </c>
      <c r="F41" s="541">
        <f>F36+MAX(F37,F39)+F40</f>
        <v>1.5</v>
      </c>
      <c r="G41" s="542">
        <f>G36+MAX(G37,G38,G39)+G40</f>
        <v>0.25</v>
      </c>
      <c r="I41" s="1060" t="s">
        <v>530</v>
      </c>
      <c r="J41" s="1061"/>
      <c r="K41" s="895">
        <f>IF(M39="true",IF(K40&gt;0,10+ROUNDUP(K40/3,0),11)/100,0)</f>
        <v>0</v>
      </c>
      <c r="L41" s="342"/>
      <c r="M41" s="342"/>
      <c r="N41" s="269" t="s">
        <v>78</v>
      </c>
      <c r="O41" s="44" t="s">
        <v>57</v>
      </c>
      <c r="P41" s="555">
        <f>INT(P35/$T$16*$W$3)</f>
        <v>9245</v>
      </c>
      <c r="Q41" s="269" t="s">
        <v>78</v>
      </c>
      <c r="R41" s="44" t="s">
        <v>57</v>
      </c>
      <c r="S41" s="215">
        <f>INT(P38/$T$16*$W$3)</f>
        <v>5084</v>
      </c>
      <c r="T41" s="1489"/>
      <c r="U41" s="668">
        <f>(U34+U37)*5+P41*3+S41*2</f>
        <v>288673</v>
      </c>
      <c r="V41" s="1339" t="s">
        <v>456</v>
      </c>
      <c r="W41" s="1340"/>
      <c r="X41" s="1340"/>
      <c r="Y41" s="504" t="s">
        <v>66</v>
      </c>
    </row>
    <row r="42" spans="2:25" ht="14.25" thickBot="1">
      <c r="B42" s="1136" t="s">
        <v>135</v>
      </c>
      <c r="C42" s="1137"/>
      <c r="D42" s="1138"/>
      <c r="E42" s="1011">
        <f>(($E$41+$F$41)/2-1)*$G$41+1</f>
        <v>1.125</v>
      </c>
      <c r="F42" s="1012"/>
      <c r="G42" s="1005"/>
      <c r="N42" s="745"/>
      <c r="O42" s="15" t="s">
        <v>58</v>
      </c>
      <c r="P42" s="556">
        <f>INT(P36/$T$16*$W$3)</f>
        <v>10876</v>
      </c>
      <c r="Q42" s="745"/>
      <c r="R42" s="15" t="s">
        <v>58</v>
      </c>
      <c r="S42" s="216">
        <f>INT(P39/$T$16*$W$3)</f>
        <v>5982</v>
      </c>
      <c r="T42" s="1491"/>
      <c r="U42" s="16">
        <f>(S36+S39)*5+P42*3+S42*2</f>
        <v>405857</v>
      </c>
      <c r="V42" s="1106" t="s">
        <v>1208</v>
      </c>
      <c r="W42" s="1509"/>
      <c r="X42" s="1509"/>
      <c r="Y42" s="507">
        <v>18</v>
      </c>
    </row>
    <row r="43" spans="9:25" ht="14.25" thickBot="1">
      <c r="I43" s="1075" t="s">
        <v>1188</v>
      </c>
      <c r="J43" s="1076"/>
      <c r="K43" s="1077"/>
      <c r="N43" s="1492" t="s">
        <v>83</v>
      </c>
      <c r="O43" s="1493"/>
      <c r="P43" s="1493"/>
      <c r="Q43" s="1494"/>
      <c r="R43" s="1310">
        <f>((U34+U37)/$T$16*5+P41*3+S41*2)*$S$17*U33*$G$46+IF(A15="true",O101,0)</f>
        <v>5808853.777777778</v>
      </c>
      <c r="S43" s="1311"/>
      <c r="T43" s="1311"/>
      <c r="U43" s="1358"/>
      <c r="V43" s="1310">
        <f>((((U47+U50)/$T$16+P54+S54)*2)+((U34+U37)/$T$16*5+P41*3+S41*2))*$S$17*$Y$42*$G$46+IF(A15="true",O101,0)</f>
        <v>7518315.600000001</v>
      </c>
      <c r="W43" s="1311"/>
      <c r="X43" s="1311"/>
      <c r="Y43" s="1358"/>
    </row>
    <row r="44" spans="2:13" ht="14.25" thickBot="1">
      <c r="B44" s="1049" t="s">
        <v>416</v>
      </c>
      <c r="C44" s="1050"/>
      <c r="D44" s="566">
        <v>125</v>
      </c>
      <c r="E44" s="1147" t="s">
        <v>417</v>
      </c>
      <c r="F44" s="1148"/>
      <c r="G44" s="26">
        <f>IF(D2&gt;D44,0,$D$44-$D$2)</f>
        <v>0</v>
      </c>
      <c r="I44" s="439" t="s">
        <v>1189</v>
      </c>
      <c r="J44" s="572"/>
      <c r="K44" s="223">
        <v>0</v>
      </c>
      <c r="L44" s="342"/>
      <c r="M44" s="342"/>
    </row>
    <row r="45" spans="2:21" ht="14.25" thickBot="1">
      <c r="B45" s="1006" t="s">
        <v>450</v>
      </c>
      <c r="C45" s="1007"/>
      <c r="D45" s="9">
        <v>12</v>
      </c>
      <c r="E45" s="1006" t="s">
        <v>452</v>
      </c>
      <c r="F45" s="1007"/>
      <c r="G45" s="665">
        <f>IF(G44&gt;0,"-",D45)</f>
        <v>12</v>
      </c>
      <c r="I45" s="440" t="s">
        <v>1190</v>
      </c>
      <c r="J45" s="573"/>
      <c r="K45" s="441">
        <f>IF(K44&gt;0,(K44+10)/100,0)</f>
        <v>0</v>
      </c>
      <c r="N45" s="977" t="s">
        <v>325</v>
      </c>
      <c r="O45" s="978"/>
      <c r="P45" s="978"/>
      <c r="Q45" s="978"/>
      <c r="R45" s="978"/>
      <c r="S45" s="978"/>
      <c r="T45" s="978"/>
      <c r="U45" s="979"/>
    </row>
    <row r="46" spans="2:21" ht="13.5" customHeight="1" thickBot="1">
      <c r="B46" s="997" t="s">
        <v>415</v>
      </c>
      <c r="C46" s="998"/>
      <c r="D46" s="9">
        <v>0</v>
      </c>
      <c r="E46" s="1006" t="s">
        <v>451</v>
      </c>
      <c r="F46" s="1007"/>
      <c r="G46" s="543">
        <f>MAX((MIN(100+SQRT($K$28)-SQRT($D$45),100)-5*G44)/100,0)</f>
        <v>1</v>
      </c>
      <c r="N46" s="21" t="s">
        <v>37</v>
      </c>
      <c r="O46" s="73">
        <v>20</v>
      </c>
      <c r="P46" s="1229" t="s">
        <v>51</v>
      </c>
      <c r="Q46" s="1230"/>
      <c r="R46" s="704">
        <f>2.5*IF($D$9&gt;0,1+(5+2*INT($D$9/3))/100,1)</f>
        <v>3.125</v>
      </c>
      <c r="S46" s="1500" t="s">
        <v>199</v>
      </c>
      <c r="T46" s="1501"/>
      <c r="U46" s="83">
        <v>142</v>
      </c>
    </row>
    <row r="47" spans="2:21" ht="14.25" thickBot="1">
      <c r="B47" s="1008" t="s">
        <v>642</v>
      </c>
      <c r="C47" s="1009"/>
      <c r="D47" s="567">
        <v>0.25</v>
      </c>
      <c r="E47" s="1145" t="s">
        <v>643</v>
      </c>
      <c r="F47" s="1146"/>
      <c r="G47" s="29">
        <f>1-(D47*(1-K45))</f>
        <v>0.75</v>
      </c>
      <c r="I47" s="1003" t="s">
        <v>1110</v>
      </c>
      <c r="J47" s="1004"/>
      <c r="K47" s="996"/>
      <c r="L47" s="342"/>
      <c r="M47" s="168"/>
      <c r="N47" s="744" t="s">
        <v>141</v>
      </c>
      <c r="O47" s="77" t="s">
        <v>56</v>
      </c>
      <c r="P47" s="554">
        <f>MIN(INT(($O$7*R46*$T$16)*(1+$B$33+$E$33+$B$51)),ReadMe!$M$94)</f>
        <v>23853</v>
      </c>
      <c r="Q47" s="975" t="s">
        <v>406</v>
      </c>
      <c r="R47" s="194" t="s">
        <v>56</v>
      </c>
      <c r="S47" s="160">
        <f>MIN(INT(P47*$E$41),ReadMe!$M$94)</f>
        <v>35779</v>
      </c>
      <c r="T47" s="1432" t="s">
        <v>127</v>
      </c>
      <c r="U47" s="1408">
        <f>INT(P48*(1-$G$41)+S48*$G$41)</f>
        <v>32584</v>
      </c>
    </row>
    <row r="48" spans="4:21" ht="14.25" thickBot="1">
      <c r="D48" s="421">
        <f>$D$46*(1-($K$45+$B$31))</f>
        <v>0</v>
      </c>
      <c r="I48" s="1083" t="s">
        <v>652</v>
      </c>
      <c r="J48" s="1084"/>
      <c r="K48" s="493"/>
      <c r="L48" s="514" t="b">
        <v>0</v>
      </c>
      <c r="M48" s="514" t="str">
        <f>IF(L48=TRUE,"TRUE",IF(K48=1,"TRUE","FLASE"))</f>
        <v>FLASE</v>
      </c>
      <c r="N48" s="269" t="s">
        <v>112</v>
      </c>
      <c r="O48" s="44" t="s">
        <v>57</v>
      </c>
      <c r="P48" s="555">
        <f>INT((P47+P49)/2)</f>
        <v>28964</v>
      </c>
      <c r="Q48" s="1069"/>
      <c r="R48" s="80" t="s">
        <v>57</v>
      </c>
      <c r="S48" s="161">
        <f>INT((S47+S49)/2)</f>
        <v>43446</v>
      </c>
      <c r="T48" s="1433"/>
      <c r="U48" s="1409"/>
    </row>
    <row r="49" spans="2:21" ht="14.25" customHeight="1" thickBot="1">
      <c r="B49" s="1078" t="s">
        <v>749</v>
      </c>
      <c r="C49" s="1079"/>
      <c r="D49" s="1080"/>
      <c r="I49" s="994" t="s">
        <v>653</v>
      </c>
      <c r="J49" s="995"/>
      <c r="K49" s="494"/>
      <c r="L49" s="514" t="b">
        <v>0</v>
      </c>
      <c r="M49" s="514" t="str">
        <f>IF(L49=TRUE,"TRUE",IF(K49=1,"TRUE","FLASE"))</f>
        <v>FLASE</v>
      </c>
      <c r="N49" s="745" t="s">
        <v>79</v>
      </c>
      <c r="O49" s="15" t="s">
        <v>58</v>
      </c>
      <c r="P49" s="556">
        <f>MIN(INT(($Q$7*R46*$T$16)*(1+$B$33+$E$33+$B$51)),ReadMe!$M$94)</f>
        <v>34076</v>
      </c>
      <c r="Q49" s="1238"/>
      <c r="R49" s="268" t="s">
        <v>58</v>
      </c>
      <c r="S49" s="270">
        <f>MIN(INT(P49*$F$41),ReadMe!$M$94)</f>
        <v>51114</v>
      </c>
      <c r="T49" s="1496"/>
      <c r="U49" s="1495"/>
    </row>
    <row r="50" spans="2:21" ht="14.25" customHeight="1" thickBot="1">
      <c r="B50" s="999" t="s">
        <v>551</v>
      </c>
      <c r="C50" s="1000"/>
      <c r="D50" s="1001"/>
      <c r="I50" s="1002" t="s">
        <v>530</v>
      </c>
      <c r="J50" s="993"/>
      <c r="K50" s="225">
        <f>IF(M48="TRUE",1.04,IF(M49="TRUE",1.02,1))</f>
        <v>1</v>
      </c>
      <c r="L50" s="352"/>
      <c r="M50" s="352"/>
      <c r="N50" s="744" t="s">
        <v>80</v>
      </c>
      <c r="O50" s="77" t="s">
        <v>56</v>
      </c>
      <c r="P50" s="554">
        <f>MIN(INT(($S$7*R46*$T$16)*(1+$B$33+$E$33+$B$51)),ReadMe!$M$94)</f>
        <v>13119</v>
      </c>
      <c r="Q50" s="975" t="s">
        <v>406</v>
      </c>
      <c r="R50" s="194" t="s">
        <v>56</v>
      </c>
      <c r="S50" s="160">
        <f>MIN(INT(P50*$E$41),ReadMe!$M$94)</f>
        <v>19678</v>
      </c>
      <c r="T50" s="1432" t="s">
        <v>127</v>
      </c>
      <c r="U50" s="1408">
        <f>INT(P51*(1-$G$41)+S51*$G$41)</f>
        <v>17921</v>
      </c>
    </row>
    <row r="51" spans="2:21" ht="14.25" customHeight="1" thickBot="1">
      <c r="B51" s="1142">
        <v>0</v>
      </c>
      <c r="C51" s="1143"/>
      <c r="D51" s="1144"/>
      <c r="N51" s="269" t="s">
        <v>112</v>
      </c>
      <c r="O51" s="44" t="s">
        <v>57</v>
      </c>
      <c r="P51" s="555">
        <f>INT((P50+P52)/2)</f>
        <v>15930</v>
      </c>
      <c r="Q51" s="1069"/>
      <c r="R51" s="80" t="s">
        <v>57</v>
      </c>
      <c r="S51" s="161">
        <f>INT((S50+S52)/2)</f>
        <v>23895</v>
      </c>
      <c r="T51" s="1433"/>
      <c r="U51" s="1409"/>
    </row>
    <row r="52" spans="14:21" ht="14.25" customHeight="1" thickBot="1">
      <c r="N52" s="745" t="s">
        <v>81</v>
      </c>
      <c r="O52" s="15" t="s">
        <v>58</v>
      </c>
      <c r="P52" s="556">
        <f>MIN(INT(($U$7*R46*$T$16)*(1+$B$33+$E$33+$B$51)),ReadMe!$M$94)</f>
        <v>18742</v>
      </c>
      <c r="Q52" s="1238"/>
      <c r="R52" s="268" t="s">
        <v>58</v>
      </c>
      <c r="S52" s="270">
        <f>MIN(INT(P52*$F$41),ReadMe!$M$94)</f>
        <v>28113</v>
      </c>
      <c r="T52" s="1496"/>
      <c r="U52" s="1495"/>
    </row>
    <row r="53" spans="2:21" ht="14.25" customHeight="1" thickBot="1">
      <c r="B53" s="1023" t="s">
        <v>64</v>
      </c>
      <c r="C53" s="1024"/>
      <c r="D53" s="1024"/>
      <c r="E53" s="1024"/>
      <c r="F53" s="1024"/>
      <c r="G53" s="1024"/>
      <c r="H53" s="1024"/>
      <c r="I53" s="1024"/>
      <c r="J53" s="1024"/>
      <c r="K53" s="1024"/>
      <c r="L53" s="1025"/>
      <c r="N53" s="744" t="s">
        <v>141</v>
      </c>
      <c r="O53" s="77" t="s">
        <v>56</v>
      </c>
      <c r="P53" s="554">
        <f>INT(P47/$T$16*$W$3)</f>
        <v>8348</v>
      </c>
      <c r="Q53" s="744" t="s">
        <v>80</v>
      </c>
      <c r="R53" s="77" t="s">
        <v>56</v>
      </c>
      <c r="S53" s="214">
        <f>INT(P50/$T$16*$W$3)</f>
        <v>4591</v>
      </c>
      <c r="T53" s="1488" t="s">
        <v>82</v>
      </c>
      <c r="U53" s="4">
        <f>P47+P50+P53+S53</f>
        <v>49911</v>
      </c>
    </row>
    <row r="54" spans="2:21" ht="14.25" customHeight="1">
      <c r="B54" s="1018" t="s">
        <v>359</v>
      </c>
      <c r="C54" s="1020"/>
      <c r="D54" s="1020"/>
      <c r="E54" s="1020"/>
      <c r="F54" s="1020"/>
      <c r="G54" s="1020"/>
      <c r="H54" s="1020"/>
      <c r="I54" s="1020"/>
      <c r="J54" s="1020"/>
      <c r="K54" s="1020"/>
      <c r="L54" s="1016"/>
      <c r="N54" s="269" t="s">
        <v>78</v>
      </c>
      <c r="O54" s="44" t="s">
        <v>57</v>
      </c>
      <c r="P54" s="555">
        <f>INT(P48/$T$16*$W$3)</f>
        <v>10137</v>
      </c>
      <c r="Q54" s="269" t="s">
        <v>78</v>
      </c>
      <c r="R54" s="44" t="s">
        <v>57</v>
      </c>
      <c r="S54" s="215">
        <f>INT(P51/$T$16*$W$3)</f>
        <v>5575</v>
      </c>
      <c r="T54" s="1489"/>
      <c r="U54" s="668">
        <f>U47+U50+S54+P54</f>
        <v>66217</v>
      </c>
    </row>
    <row r="55" spans="2:21" ht="14.25" customHeight="1" thickBot="1">
      <c r="B55" s="1017" t="s">
        <v>460</v>
      </c>
      <c r="C55" s="1013"/>
      <c r="D55" s="1013"/>
      <c r="E55" s="1013"/>
      <c r="F55" s="1013"/>
      <c r="G55" s="1013"/>
      <c r="H55" s="1013"/>
      <c r="I55" s="1013"/>
      <c r="J55" s="1013"/>
      <c r="K55" s="1013"/>
      <c r="L55" s="1010"/>
      <c r="N55" s="745"/>
      <c r="O55" s="15" t="s">
        <v>58</v>
      </c>
      <c r="P55" s="556">
        <f>INT(P49/$T$16*$W$3)</f>
        <v>11926</v>
      </c>
      <c r="Q55" s="745"/>
      <c r="R55" s="15" t="s">
        <v>58</v>
      </c>
      <c r="S55" s="216">
        <f>INT(P52/$T$16*$W$3)</f>
        <v>6559</v>
      </c>
      <c r="T55" s="1491"/>
      <c r="U55" s="16">
        <f>S49+S52+P55+S55</f>
        <v>97712</v>
      </c>
    </row>
    <row r="56" spans="2:21" ht="14.25" customHeight="1" thickBot="1">
      <c r="B56" s="1017" t="s">
        <v>469</v>
      </c>
      <c r="C56" s="1013"/>
      <c r="D56" s="1013"/>
      <c r="E56" s="1013"/>
      <c r="F56" s="1013"/>
      <c r="G56" s="1013"/>
      <c r="H56" s="1013"/>
      <c r="I56" s="1013"/>
      <c r="J56" s="1013"/>
      <c r="K56" s="1013"/>
      <c r="L56" s="1010"/>
      <c r="N56" s="1492" t="s">
        <v>83</v>
      </c>
      <c r="O56" s="1493"/>
      <c r="P56" s="1493"/>
      <c r="Q56" s="1494"/>
      <c r="R56" s="1310">
        <f>U54/$T$16*U46*$S$17*$G$46+IF(A15="true",O101,0)</f>
        <v>7946372.644444444</v>
      </c>
      <c r="S56" s="1311"/>
      <c r="T56" s="1311"/>
      <c r="U56" s="1358"/>
    </row>
    <row r="57" spans="2:12" ht="14.25" customHeight="1" thickBot="1">
      <c r="B57" s="1017" t="s">
        <v>461</v>
      </c>
      <c r="C57" s="1013"/>
      <c r="D57" s="1013"/>
      <c r="E57" s="1013"/>
      <c r="F57" s="1013"/>
      <c r="G57" s="1013"/>
      <c r="H57" s="1013"/>
      <c r="I57" s="1013"/>
      <c r="J57" s="1013"/>
      <c r="K57" s="1013"/>
      <c r="L57" s="1010"/>
    </row>
    <row r="58" spans="2:21" ht="14.25" customHeight="1" thickBot="1">
      <c r="B58" s="1017" t="s">
        <v>470</v>
      </c>
      <c r="C58" s="1013"/>
      <c r="D58" s="1013"/>
      <c r="E58" s="1013"/>
      <c r="F58" s="1013"/>
      <c r="G58" s="1013"/>
      <c r="H58" s="1013"/>
      <c r="I58" s="1013"/>
      <c r="J58" s="1013"/>
      <c r="K58" s="1013"/>
      <c r="L58" s="1010"/>
      <c r="N58" s="977" t="s">
        <v>781</v>
      </c>
      <c r="O58" s="978"/>
      <c r="P58" s="978"/>
      <c r="Q58" s="978"/>
      <c r="R58" s="978"/>
      <c r="S58" s="978"/>
      <c r="T58" s="978"/>
      <c r="U58" s="979"/>
    </row>
    <row r="59" spans="2:21" ht="14.25" customHeight="1" thickBot="1">
      <c r="B59" s="1017" t="s">
        <v>473</v>
      </c>
      <c r="C59" s="1013"/>
      <c r="D59" s="1013"/>
      <c r="E59" s="1013"/>
      <c r="F59" s="1013"/>
      <c r="G59" s="1013"/>
      <c r="H59" s="1013"/>
      <c r="I59" s="1013"/>
      <c r="J59" s="1013"/>
      <c r="K59" s="1013"/>
      <c r="L59" s="1010"/>
      <c r="N59" s="21" t="s">
        <v>37</v>
      </c>
      <c r="O59" s="73">
        <v>20</v>
      </c>
      <c r="P59" s="1229" t="s">
        <v>51</v>
      </c>
      <c r="Q59" s="1230"/>
      <c r="R59" s="704">
        <f>4.2*IF($D$9&gt;0,1+(5+2*INT($D$9/3))/100,1)</f>
        <v>5.25</v>
      </c>
      <c r="S59" s="505"/>
      <c r="T59" s="506"/>
      <c r="U59" s="331"/>
    </row>
    <row r="60" spans="2:21" ht="14.25" customHeight="1">
      <c r="B60" s="1017" t="s">
        <v>360</v>
      </c>
      <c r="C60" s="1013"/>
      <c r="D60" s="1013"/>
      <c r="E60" s="1013"/>
      <c r="F60" s="1013"/>
      <c r="G60" s="1013"/>
      <c r="H60" s="1013"/>
      <c r="I60" s="1013"/>
      <c r="J60" s="1013"/>
      <c r="K60" s="1013"/>
      <c r="L60" s="1010"/>
      <c r="N60" s="744" t="s">
        <v>141</v>
      </c>
      <c r="O60" s="77" t="s">
        <v>56</v>
      </c>
      <c r="P60" s="554">
        <f>MIN(INT(($O$7*R59*$T$16)*(1+$B$33+$E$33+$B$51)),ReadMe!$M$94)</f>
        <v>40073</v>
      </c>
      <c r="Q60" s="975" t="s">
        <v>406</v>
      </c>
      <c r="R60" s="194" t="s">
        <v>56</v>
      </c>
      <c r="S60" s="160">
        <f>MIN(INT(P60*$E$41),ReadMe!$M$94)</f>
        <v>60109</v>
      </c>
      <c r="T60" s="1432" t="s">
        <v>127</v>
      </c>
      <c r="U60" s="1408">
        <f>INT(P61*(1-$G$41)+S61*$G$41)</f>
        <v>54742</v>
      </c>
    </row>
    <row r="61" spans="2:21" ht="13.5">
      <c r="B61" s="1017" t="s">
        <v>361</v>
      </c>
      <c r="C61" s="1013"/>
      <c r="D61" s="1013"/>
      <c r="E61" s="1013"/>
      <c r="F61" s="1013"/>
      <c r="G61" s="1013"/>
      <c r="H61" s="1013"/>
      <c r="I61" s="1013"/>
      <c r="J61" s="1013"/>
      <c r="K61" s="1013"/>
      <c r="L61" s="1010"/>
      <c r="N61" s="269" t="s">
        <v>112</v>
      </c>
      <c r="O61" s="44" t="s">
        <v>57</v>
      </c>
      <c r="P61" s="555">
        <f>INT((P60+P62)/2)</f>
        <v>48660</v>
      </c>
      <c r="Q61" s="1069"/>
      <c r="R61" s="80" t="s">
        <v>57</v>
      </c>
      <c r="S61" s="161">
        <f>INT((S60+S62)/2)</f>
        <v>72990</v>
      </c>
      <c r="T61" s="1433"/>
      <c r="U61" s="1409"/>
    </row>
    <row r="62" spans="2:21" ht="14.25" thickBot="1">
      <c r="B62" s="1017" t="s">
        <v>474</v>
      </c>
      <c r="C62" s="1013"/>
      <c r="D62" s="1013"/>
      <c r="E62" s="1013"/>
      <c r="F62" s="1013"/>
      <c r="G62" s="1013"/>
      <c r="H62" s="1013"/>
      <c r="I62" s="1013"/>
      <c r="J62" s="1013"/>
      <c r="K62" s="1013"/>
      <c r="L62" s="1010"/>
      <c r="N62" s="745" t="s">
        <v>79</v>
      </c>
      <c r="O62" s="15" t="s">
        <v>58</v>
      </c>
      <c r="P62" s="556">
        <f>MIN(INT(($Q$7*R59*$T$16)*(1+$B$33+$E$33+$B$51)),ReadMe!$M$94)</f>
        <v>57248</v>
      </c>
      <c r="Q62" s="1238"/>
      <c r="R62" s="268" t="s">
        <v>58</v>
      </c>
      <c r="S62" s="270">
        <f>MIN(INT(P62*$F$41),ReadMe!$M$94)</f>
        <v>85872</v>
      </c>
      <c r="T62" s="1496"/>
      <c r="U62" s="1495"/>
    </row>
    <row r="63" spans="2:21" ht="14.25" thickBot="1">
      <c r="B63" s="1029" t="s">
        <v>362</v>
      </c>
      <c r="C63" s="1031"/>
      <c r="D63" s="1031"/>
      <c r="E63" s="1031"/>
      <c r="F63" s="1031"/>
      <c r="G63" s="1031"/>
      <c r="H63" s="1031"/>
      <c r="I63" s="1031"/>
      <c r="J63" s="1031"/>
      <c r="K63" s="1031"/>
      <c r="L63" s="1022"/>
      <c r="N63" s="744" t="s">
        <v>80</v>
      </c>
      <c r="O63" s="77" t="s">
        <v>56</v>
      </c>
      <c r="P63" s="554">
        <f>MIN(INT(($S$7*R59*$T$16)*(1+$B$33+$E$33+$B$51)),ReadMe!$M$94)</f>
        <v>22040</v>
      </c>
      <c r="Q63" s="975" t="s">
        <v>406</v>
      </c>
      <c r="R63" s="194" t="s">
        <v>56</v>
      </c>
      <c r="S63" s="160">
        <f>MIN(INT(P63*$E$41),ReadMe!$M$94)</f>
        <v>33060</v>
      </c>
      <c r="T63" s="1432" t="s">
        <v>127</v>
      </c>
      <c r="U63" s="1408">
        <f>INT(P64*(1-$G$41)+S64*$G$41)</f>
        <v>30108</v>
      </c>
    </row>
    <row r="64" spans="14:21" ht="13.5">
      <c r="N64" s="269" t="s">
        <v>112</v>
      </c>
      <c r="O64" s="44" t="s">
        <v>57</v>
      </c>
      <c r="P64" s="555">
        <f>INT((P63+P65)/2)</f>
        <v>26763</v>
      </c>
      <c r="Q64" s="1069"/>
      <c r="R64" s="80" t="s">
        <v>57</v>
      </c>
      <c r="S64" s="161">
        <f>INT((S63+S65)/2)</f>
        <v>40144</v>
      </c>
      <c r="T64" s="1433"/>
      <c r="U64" s="1409"/>
    </row>
    <row r="65" spans="14:21" ht="14.25" thickBot="1">
      <c r="N65" s="745" t="s">
        <v>81</v>
      </c>
      <c r="O65" s="15" t="s">
        <v>58</v>
      </c>
      <c r="P65" s="556">
        <f>MIN(INT(($U$7*R59*$T$16)*(1+$B$33+$E$33+$B$51)),ReadMe!$M$94)</f>
        <v>31486</v>
      </c>
      <c r="Q65" s="1238"/>
      <c r="R65" s="268" t="s">
        <v>58</v>
      </c>
      <c r="S65" s="270">
        <f>MIN(INT(P65*$F$41),ReadMe!$M$94)</f>
        <v>47229</v>
      </c>
      <c r="T65" s="1496"/>
      <c r="U65" s="1495"/>
    </row>
    <row r="66" spans="14:21" ht="13.5">
      <c r="N66" s="744" t="s">
        <v>141</v>
      </c>
      <c r="O66" s="77" t="s">
        <v>56</v>
      </c>
      <c r="P66" s="554">
        <f>INT(P60/$T$16*$W$3)</f>
        <v>14025</v>
      </c>
      <c r="Q66" s="744" t="s">
        <v>80</v>
      </c>
      <c r="R66" s="77" t="s">
        <v>56</v>
      </c>
      <c r="S66" s="214">
        <f>INT(P63/$T$16*$W$3)</f>
        <v>7714</v>
      </c>
      <c r="T66" s="1488" t="s">
        <v>82</v>
      </c>
      <c r="U66" s="4">
        <f>P60+P63+P66+S66</f>
        <v>83852</v>
      </c>
    </row>
    <row r="67" spans="14:21" ht="13.5">
      <c r="N67" s="269" t="s">
        <v>78</v>
      </c>
      <c r="O67" s="44" t="s">
        <v>57</v>
      </c>
      <c r="P67" s="555">
        <f>INT(P61/$T$16*$W$3)</f>
        <v>17031</v>
      </c>
      <c r="Q67" s="269" t="s">
        <v>78</v>
      </c>
      <c r="R67" s="44" t="s">
        <v>57</v>
      </c>
      <c r="S67" s="215">
        <f>INT(P64/$T$16*$W$3)</f>
        <v>9367</v>
      </c>
      <c r="T67" s="1489"/>
      <c r="U67" s="668">
        <f>U60+U63+S67+P67</f>
        <v>111248</v>
      </c>
    </row>
    <row r="68" spans="14:21" ht="14.25" thickBot="1">
      <c r="N68" s="745"/>
      <c r="O68" s="15" t="s">
        <v>58</v>
      </c>
      <c r="P68" s="556">
        <f>INT(P62/$T$16*$W$3)</f>
        <v>20036</v>
      </c>
      <c r="Q68" s="745"/>
      <c r="R68" s="15" t="s">
        <v>58</v>
      </c>
      <c r="S68" s="216">
        <f>INT(P65/$T$16*$W$3)</f>
        <v>11020</v>
      </c>
      <c r="T68" s="1491"/>
      <c r="U68" s="16">
        <f>S62+S65+P68+S68</f>
        <v>164157</v>
      </c>
    </row>
    <row r="69" ht="14.25" thickBot="1"/>
    <row r="70" spans="14:21" ht="14.25" thickBot="1">
      <c r="N70" s="977" t="s">
        <v>616</v>
      </c>
      <c r="O70" s="978"/>
      <c r="P70" s="978"/>
      <c r="Q70" s="978"/>
      <c r="R70" s="978"/>
      <c r="S70" s="978"/>
      <c r="T70" s="978"/>
      <c r="U70" s="979"/>
    </row>
    <row r="71" spans="14:21" ht="14.25" thickBot="1">
      <c r="N71" s="21" t="s">
        <v>37</v>
      </c>
      <c r="O71" s="73">
        <v>10</v>
      </c>
      <c r="P71" s="1229" t="s">
        <v>51</v>
      </c>
      <c r="Q71" s="1230"/>
      <c r="R71" s="704">
        <f>4.2*IF($D$9&gt;0,1+(5+2*INT($D$9/3))/100,1)</f>
        <v>5.25</v>
      </c>
      <c r="S71" s="505"/>
      <c r="T71" s="506"/>
      <c r="U71" s="331"/>
    </row>
    <row r="72" spans="14:21" ht="13.5">
      <c r="N72" s="744" t="s">
        <v>141</v>
      </c>
      <c r="O72" s="77" t="s">
        <v>56</v>
      </c>
      <c r="P72" s="554">
        <f>MIN(INT(($O$7*R71*$T$16)*(1+$B$33+$E$33+$B$51)),ReadMe!$M$94)</f>
        <v>40073</v>
      </c>
      <c r="Q72" s="975" t="s">
        <v>406</v>
      </c>
      <c r="R72" s="194" t="s">
        <v>56</v>
      </c>
      <c r="S72" s="160">
        <f>MIN(INT(P72*$E$41),ReadMe!$M$94)</f>
        <v>60109</v>
      </c>
      <c r="T72" s="1432" t="s">
        <v>127</v>
      </c>
      <c r="U72" s="1408">
        <f>INT(P73*(1-$G$41)+S73*$G$41)</f>
        <v>54742</v>
      </c>
    </row>
    <row r="73" spans="14:21" ht="13.5">
      <c r="N73" s="269" t="s">
        <v>112</v>
      </c>
      <c r="O73" s="44" t="s">
        <v>57</v>
      </c>
      <c r="P73" s="555">
        <f>INT((P72+P74)/2)</f>
        <v>48660</v>
      </c>
      <c r="Q73" s="1069"/>
      <c r="R73" s="80" t="s">
        <v>57</v>
      </c>
      <c r="S73" s="161">
        <f>INT((S72+S74)/2)</f>
        <v>72990</v>
      </c>
      <c r="T73" s="1433"/>
      <c r="U73" s="1409"/>
    </row>
    <row r="74" spans="14:21" ht="14.25" thickBot="1">
      <c r="N74" s="745" t="s">
        <v>79</v>
      </c>
      <c r="O74" s="15" t="s">
        <v>58</v>
      </c>
      <c r="P74" s="556">
        <f>MIN(INT(($Q$7*R71*$T$16)*(1+$B$33+$E$33+$B$51)),ReadMe!$M$94)</f>
        <v>57248</v>
      </c>
      <c r="Q74" s="1238"/>
      <c r="R74" s="268" t="s">
        <v>58</v>
      </c>
      <c r="S74" s="270">
        <f>MIN(INT(P74*$F$41),ReadMe!$M$94)</f>
        <v>85872</v>
      </c>
      <c r="T74" s="1496"/>
      <c r="U74" s="1495"/>
    </row>
    <row r="75" spans="14:21" ht="13.5">
      <c r="N75" s="744" t="s">
        <v>80</v>
      </c>
      <c r="O75" s="77" t="s">
        <v>56</v>
      </c>
      <c r="P75" s="554">
        <f>MIN(INT(($S$7*R71*$T$16)*(1+$B$33+$E$33+$B$51)),ReadMe!$M$94)</f>
        <v>22040</v>
      </c>
      <c r="Q75" s="975" t="s">
        <v>406</v>
      </c>
      <c r="R75" s="194" t="s">
        <v>56</v>
      </c>
      <c r="S75" s="160">
        <f>MIN(INT(P75*$E$41),ReadMe!$M$94)</f>
        <v>33060</v>
      </c>
      <c r="T75" s="1432" t="s">
        <v>127</v>
      </c>
      <c r="U75" s="1408">
        <f>INT(P76*(1-$G$41)+S76*$G$41)</f>
        <v>30108</v>
      </c>
    </row>
    <row r="76" spans="14:21" ht="13.5">
      <c r="N76" s="269" t="s">
        <v>112</v>
      </c>
      <c r="O76" s="44" t="s">
        <v>57</v>
      </c>
      <c r="P76" s="555">
        <f>INT((P75+P77)/2)</f>
        <v>26763</v>
      </c>
      <c r="Q76" s="1069"/>
      <c r="R76" s="80" t="s">
        <v>57</v>
      </c>
      <c r="S76" s="161">
        <f>INT((S75+S77)/2)</f>
        <v>40144</v>
      </c>
      <c r="T76" s="1433"/>
      <c r="U76" s="1409"/>
    </row>
    <row r="77" spans="14:21" ht="14.25" thickBot="1">
      <c r="N77" s="745" t="s">
        <v>81</v>
      </c>
      <c r="O77" s="15" t="s">
        <v>58</v>
      </c>
      <c r="P77" s="556">
        <f>MIN(INT(($U$7*R71*$T$16)*(1+$B$33+$E$33+$B$51)),ReadMe!$M$94)</f>
        <v>31486</v>
      </c>
      <c r="Q77" s="1238"/>
      <c r="R77" s="268" t="s">
        <v>58</v>
      </c>
      <c r="S77" s="270">
        <f>MIN(INT(P77*$F$41),ReadMe!$M$94)</f>
        <v>47229</v>
      </c>
      <c r="T77" s="1496"/>
      <c r="U77" s="1495"/>
    </row>
    <row r="78" spans="14:21" ht="13.5">
      <c r="N78" s="744" t="s">
        <v>141</v>
      </c>
      <c r="O78" s="77" t="s">
        <v>56</v>
      </c>
      <c r="P78" s="554">
        <f>INT(P72/$T$16*$W$3)</f>
        <v>14025</v>
      </c>
      <c r="Q78" s="744" t="s">
        <v>80</v>
      </c>
      <c r="R78" s="77" t="s">
        <v>56</v>
      </c>
      <c r="S78" s="214">
        <f>INT(P75/$T$16*$W$3)</f>
        <v>7714</v>
      </c>
      <c r="T78" s="1488" t="s">
        <v>82</v>
      </c>
      <c r="U78" s="4">
        <f>P72+P75+P78+S78</f>
        <v>83852</v>
      </c>
    </row>
    <row r="79" spans="14:21" ht="13.5">
      <c r="N79" s="269" t="s">
        <v>78</v>
      </c>
      <c r="O79" s="44" t="s">
        <v>57</v>
      </c>
      <c r="P79" s="555">
        <f>INT(P73/$T$16*$W$3)</f>
        <v>17031</v>
      </c>
      <c r="Q79" s="269" t="s">
        <v>78</v>
      </c>
      <c r="R79" s="44" t="s">
        <v>57</v>
      </c>
      <c r="S79" s="215">
        <f>INT(P76/$T$16*$W$3)</f>
        <v>9367</v>
      </c>
      <c r="T79" s="1489"/>
      <c r="U79" s="668">
        <f>U72+U75+S79+P79</f>
        <v>111248</v>
      </c>
    </row>
    <row r="80" spans="14:21" ht="14.25" thickBot="1">
      <c r="N80" s="745"/>
      <c r="O80" s="15" t="s">
        <v>58</v>
      </c>
      <c r="P80" s="556">
        <f>INT(P74/$T$16*$W$3)</f>
        <v>20036</v>
      </c>
      <c r="Q80" s="745"/>
      <c r="R80" s="15" t="s">
        <v>58</v>
      </c>
      <c r="S80" s="216">
        <f>INT(P77/$T$16*$W$3)</f>
        <v>11020</v>
      </c>
      <c r="T80" s="1491"/>
      <c r="U80" s="16">
        <f>S74+S77+P80+S80</f>
        <v>164157</v>
      </c>
    </row>
    <row r="81" ht="14.25" thickBot="1"/>
    <row r="82" spans="14:21" ht="14.25" thickBot="1">
      <c r="N82" s="977" t="s">
        <v>114</v>
      </c>
      <c r="O82" s="978"/>
      <c r="P82" s="978"/>
      <c r="Q82" s="978"/>
      <c r="R82" s="978"/>
      <c r="S82" s="978"/>
      <c r="T82" s="978"/>
      <c r="U82" s="979"/>
    </row>
    <row r="83" spans="14:18" ht="14.25" thickBot="1">
      <c r="N83" s="21" t="s">
        <v>37</v>
      </c>
      <c r="O83" s="73">
        <v>20</v>
      </c>
      <c r="P83" s="1229" t="s">
        <v>51</v>
      </c>
      <c r="Q83" s="1230"/>
      <c r="R83" s="704">
        <f>2.5*IF($D$9&gt;0,1+(5+2*INT($D$9/3))/100,1)</f>
        <v>3.125</v>
      </c>
    </row>
    <row r="84" spans="14:21" ht="13.5">
      <c r="N84" s="744"/>
      <c r="O84" s="77" t="s">
        <v>56</v>
      </c>
      <c r="P84" s="554">
        <f>MIN(INT(($R$4*R83*$T$16)*(1+$B$33+$E$33+$B$51)),ReadMe!$M$94)</f>
        <v>36972</v>
      </c>
      <c r="Q84" s="975" t="s">
        <v>406</v>
      </c>
      <c r="R84" s="194" t="s">
        <v>56</v>
      </c>
      <c r="S84" s="160">
        <f>MIN(INT(P84*$E$41),ReadMe!$M$94)</f>
        <v>55458</v>
      </c>
      <c r="T84" s="1432" t="s">
        <v>127</v>
      </c>
      <c r="U84" s="1408">
        <f>INT(P85*(1-$G$41)+S85*$G$41)</f>
        <v>50506</v>
      </c>
    </row>
    <row r="85" spans="14:21" ht="13.5">
      <c r="N85" s="269" t="s">
        <v>112</v>
      </c>
      <c r="O85" s="44" t="s">
        <v>57</v>
      </c>
      <c r="P85" s="555">
        <f>INT((P84+P86)/2)</f>
        <v>44895</v>
      </c>
      <c r="Q85" s="1069"/>
      <c r="R85" s="80" t="s">
        <v>57</v>
      </c>
      <c r="S85" s="161">
        <f>INT((S84+S86)/2)</f>
        <v>67342</v>
      </c>
      <c r="T85" s="1433"/>
      <c r="U85" s="1409"/>
    </row>
    <row r="86" spans="14:21" ht="14.25" thickBot="1">
      <c r="N86" s="745"/>
      <c r="O86" s="15" t="s">
        <v>58</v>
      </c>
      <c r="P86" s="556">
        <f>MIN(INT(($T$4*R83*$T$16)*(1+$B$33+$E$33+$B$51)),ReadMe!$M$94)</f>
        <v>52818</v>
      </c>
      <c r="Q86" s="1238"/>
      <c r="R86" s="268" t="s">
        <v>58</v>
      </c>
      <c r="S86" s="270">
        <f>MIN(INT(P86*$F$41),ReadMe!$M$94)</f>
        <v>79227</v>
      </c>
      <c r="T86" s="1496"/>
      <c r="U86" s="1495"/>
    </row>
    <row r="87" spans="14:21" ht="13.5">
      <c r="N87" s="988" t="s">
        <v>317</v>
      </c>
      <c r="O87" s="77" t="s">
        <v>56</v>
      </c>
      <c r="P87" s="554">
        <f>INT(P84*$W$3)</f>
        <v>25880</v>
      </c>
      <c r="Q87" s="1023" t="s">
        <v>498</v>
      </c>
      <c r="R87" s="1024"/>
      <c r="S87" s="1024"/>
      <c r="T87" s="500" t="s">
        <v>56</v>
      </c>
      <c r="U87" s="560">
        <f>P84+P87</f>
        <v>62852</v>
      </c>
    </row>
    <row r="88" spans="14:21" ht="13.5">
      <c r="N88" s="1051"/>
      <c r="O88" s="44" t="s">
        <v>57</v>
      </c>
      <c r="P88" s="555">
        <f>INT(P85*$W$3)</f>
        <v>31426</v>
      </c>
      <c r="Q88" s="1334"/>
      <c r="R88" s="1335"/>
      <c r="S88" s="1335"/>
      <c r="T88" s="501" t="s">
        <v>140</v>
      </c>
      <c r="U88" s="741">
        <f>U84+P88</f>
        <v>81932</v>
      </c>
    </row>
    <row r="89" spans="14:21" ht="14.25" thickBot="1">
      <c r="N89" s="989"/>
      <c r="O89" s="15" t="s">
        <v>58</v>
      </c>
      <c r="P89" s="556">
        <f>INT(P86*$W$3)</f>
        <v>36972</v>
      </c>
      <c r="Q89" s="1276"/>
      <c r="R89" s="1336"/>
      <c r="S89" s="1336"/>
      <c r="T89" s="14" t="s">
        <v>58</v>
      </c>
      <c r="U89" s="742">
        <f>S86+P89</f>
        <v>116199</v>
      </c>
    </row>
    <row r="90" ht="14.25" thickBot="1"/>
    <row r="91" spans="14:21" ht="14.25" thickBot="1">
      <c r="N91" s="977" t="s">
        <v>782</v>
      </c>
      <c r="O91" s="978"/>
      <c r="P91" s="978"/>
      <c r="Q91" s="978"/>
      <c r="R91" s="978"/>
      <c r="S91" s="978"/>
      <c r="T91" s="978"/>
      <c r="U91" s="979"/>
    </row>
    <row r="92" spans="14:21" ht="14.25" thickBot="1">
      <c r="N92" s="21" t="s">
        <v>227</v>
      </c>
      <c r="O92" s="73">
        <f>D7</f>
        <v>30</v>
      </c>
      <c r="P92" s="1099" t="s">
        <v>51</v>
      </c>
      <c r="Q92" s="1100"/>
      <c r="R92" s="167">
        <f>(900+O92*20)/100</f>
        <v>15</v>
      </c>
      <c r="S92" s="1506" t="s">
        <v>446</v>
      </c>
      <c r="T92" s="1507"/>
      <c r="U92" s="749">
        <f>60-2*INT(O92/2)</f>
        <v>30</v>
      </c>
    </row>
    <row r="93" spans="14:21" ht="14.25" thickBot="1">
      <c r="N93" s="1068" t="s">
        <v>327</v>
      </c>
      <c r="O93" s="1036"/>
      <c r="P93" s="750">
        <f>(80+4*O92)/100</f>
        <v>2</v>
      </c>
      <c r="Q93" s="17" t="s">
        <v>908</v>
      </c>
      <c r="R93" s="84">
        <f>5+INT(O92/6)</f>
        <v>10</v>
      </c>
      <c r="S93" s="1206" t="s">
        <v>326</v>
      </c>
      <c r="T93" s="1036"/>
      <c r="U93" s="748">
        <f>INT(P4*P93)</f>
        <v>22535</v>
      </c>
    </row>
    <row r="94" spans="14:21" ht="13.5">
      <c r="N94" s="269"/>
      <c r="O94" s="91" t="s">
        <v>56</v>
      </c>
      <c r="P94" s="681">
        <f>MIN(INT(($R$4*R92*$T$16)*(1+$B$33+$E$33+$B$51)),ReadMe!$M$94)</f>
        <v>177470</v>
      </c>
      <c r="Q94" s="1472" t="s">
        <v>406</v>
      </c>
      <c r="R94" s="712" t="s">
        <v>56</v>
      </c>
      <c r="S94" s="663">
        <f>MIN(INT(P94*$E$41),ReadMe!$M$94)</f>
        <v>266205</v>
      </c>
      <c r="T94" s="1432" t="s">
        <v>127</v>
      </c>
      <c r="U94" s="1408">
        <f>INT(P95*(1-$G$41)+S95*$G$41)</f>
        <v>242436</v>
      </c>
    </row>
    <row r="95" spans="14:21" ht="13.5">
      <c r="N95" s="269" t="s">
        <v>112</v>
      </c>
      <c r="O95" s="44" t="s">
        <v>57</v>
      </c>
      <c r="P95" s="555">
        <f>INT((P94+P96)/2)</f>
        <v>215499</v>
      </c>
      <c r="Q95" s="1069"/>
      <c r="R95" s="80" t="s">
        <v>57</v>
      </c>
      <c r="S95" s="161">
        <f>INT((S94+S96)/2)</f>
        <v>323248</v>
      </c>
      <c r="T95" s="1433"/>
      <c r="U95" s="1409"/>
    </row>
    <row r="96" spans="14:21" ht="14.25" thickBot="1">
      <c r="N96" s="745"/>
      <c r="O96" s="15" t="s">
        <v>58</v>
      </c>
      <c r="P96" s="556">
        <f>MIN(INT(($T$4*R92*$T$16)*(1+$B$33+$E$33+$B$51)),ReadMe!$M$94)</f>
        <v>253528</v>
      </c>
      <c r="Q96" s="1070"/>
      <c r="R96" s="87" t="s">
        <v>58</v>
      </c>
      <c r="S96" s="162">
        <f>MIN(INT(P96*$F$41),ReadMe!$M$94)</f>
        <v>380292</v>
      </c>
      <c r="T96" s="1443"/>
      <c r="U96" s="1459"/>
    </row>
    <row r="97" ht="14.25" thickBot="1"/>
    <row r="98" spans="14:15" ht="14.25" thickBot="1">
      <c r="N98" s="1414" t="s">
        <v>924</v>
      </c>
      <c r="O98" s="1415"/>
    </row>
    <row r="99" spans="14:15" ht="14.25" thickBot="1">
      <c r="N99" s="17" t="s">
        <v>51</v>
      </c>
      <c r="O99" s="76">
        <f>(50+3*D14)/100</f>
        <v>1.4</v>
      </c>
    </row>
    <row r="100" spans="14:15" ht="14.25" thickBot="1">
      <c r="N100" s="52" t="s">
        <v>979</v>
      </c>
      <c r="O100" s="746">
        <f>INT(P4*O99)</f>
        <v>15775</v>
      </c>
    </row>
    <row r="101" spans="14:15" ht="14.25" thickBot="1">
      <c r="N101" s="22"/>
      <c r="O101" s="711">
        <f>O100*60</f>
        <v>946500</v>
      </c>
    </row>
    <row r="102" spans="14:21" ht="14.25" thickBot="1">
      <c r="N102" s="1062" t="s">
        <v>1050</v>
      </c>
      <c r="O102" s="1063"/>
      <c r="P102" s="1063"/>
      <c r="Q102" s="1063"/>
      <c r="R102" s="1063"/>
      <c r="S102" s="1063"/>
      <c r="T102" s="1063"/>
      <c r="U102" s="1064"/>
    </row>
    <row r="103" spans="14:21" ht="14.25" thickBot="1">
      <c r="N103" s="1205" t="s">
        <v>1051</v>
      </c>
      <c r="O103" s="1206"/>
      <c r="P103" s="487">
        <v>1.8</v>
      </c>
      <c r="Q103" s="1115" t="s">
        <v>66</v>
      </c>
      <c r="R103" s="1116"/>
      <c r="S103" s="332">
        <v>3</v>
      </c>
      <c r="T103" s="490" t="s">
        <v>113</v>
      </c>
      <c r="U103" s="486">
        <v>0.6</v>
      </c>
    </row>
    <row r="104" spans="14:21" ht="13.5">
      <c r="N104" s="744" t="s">
        <v>141</v>
      </c>
      <c r="O104" s="77" t="s">
        <v>56</v>
      </c>
      <c r="P104" s="554">
        <f>MIN(INT(($O$7*P103*$T$16)*(1+$B$33+$E$33+$B$51)),ReadMe!$M$94)</f>
        <v>13739</v>
      </c>
      <c r="Q104" s="975" t="s">
        <v>406</v>
      </c>
      <c r="R104" s="194" t="s">
        <v>56</v>
      </c>
      <c r="S104" s="160">
        <f>MIN(INT(P104*$E$41),ReadMe!$M$94)</f>
        <v>20608</v>
      </c>
      <c r="T104" s="1432" t="s">
        <v>127</v>
      </c>
      <c r="U104" s="1408">
        <f>INT(P105*(1-$G$41)+S105*$G$41)</f>
        <v>18768</v>
      </c>
    </row>
    <row r="105" spans="14:21" ht="13.5">
      <c r="N105" s="269" t="s">
        <v>112</v>
      </c>
      <c r="O105" s="44" t="s">
        <v>57</v>
      </c>
      <c r="P105" s="555">
        <f>INT((P104+P106)/2)</f>
        <v>16683</v>
      </c>
      <c r="Q105" s="1069"/>
      <c r="R105" s="80" t="s">
        <v>57</v>
      </c>
      <c r="S105" s="161">
        <f>INT((S104+S106)/2)</f>
        <v>25025</v>
      </c>
      <c r="T105" s="1433"/>
      <c r="U105" s="1409"/>
    </row>
    <row r="106" spans="14:21" ht="14.25" thickBot="1">
      <c r="N106" s="745" t="s">
        <v>79</v>
      </c>
      <c r="O106" s="15" t="s">
        <v>58</v>
      </c>
      <c r="P106" s="556">
        <f>MIN(INT(($Q$7*P103*$T$16)*(1+$B$33+$E$33+$B$51)),ReadMe!$M$94)</f>
        <v>19628</v>
      </c>
      <c r="Q106" s="1238"/>
      <c r="R106" s="268" t="s">
        <v>58</v>
      </c>
      <c r="S106" s="270">
        <f>MIN(INT(P106*$F$41),ReadMe!$M$94)</f>
        <v>29442</v>
      </c>
      <c r="T106" s="1496"/>
      <c r="U106" s="1495"/>
    </row>
    <row r="107" spans="14:21" ht="13.5">
      <c r="N107" s="744" t="s">
        <v>80</v>
      </c>
      <c r="O107" s="77" t="s">
        <v>56</v>
      </c>
      <c r="P107" s="554">
        <f>MIN(INT(($S$7*P103*$T$16)*(1+$B$33+$E$33+$B$51)),ReadMe!$M$94)</f>
        <v>7556</v>
      </c>
      <c r="Q107" s="975" t="s">
        <v>406</v>
      </c>
      <c r="R107" s="194" t="s">
        <v>56</v>
      </c>
      <c r="S107" s="160">
        <f>MIN(INT(P107*$E$41),ReadMe!$M$94)</f>
        <v>11334</v>
      </c>
      <c r="T107" s="1432" t="s">
        <v>127</v>
      </c>
      <c r="U107" s="1408">
        <f>INT(P108*(1-$G$41)+S108*$G$41)</f>
        <v>10322</v>
      </c>
    </row>
    <row r="108" spans="14:21" ht="13.5">
      <c r="N108" s="269" t="s">
        <v>112</v>
      </c>
      <c r="O108" s="44" t="s">
        <v>57</v>
      </c>
      <c r="P108" s="555">
        <f>INT((P107+P109)/2)</f>
        <v>9175</v>
      </c>
      <c r="Q108" s="1069"/>
      <c r="R108" s="80" t="s">
        <v>57</v>
      </c>
      <c r="S108" s="161">
        <f>INT((S107+S109)/2)</f>
        <v>13763</v>
      </c>
      <c r="T108" s="1433"/>
      <c r="U108" s="1409"/>
    </row>
    <row r="109" spans="14:21" ht="14.25" thickBot="1">
      <c r="N109" s="269" t="s">
        <v>81</v>
      </c>
      <c r="O109" s="69" t="s">
        <v>58</v>
      </c>
      <c r="P109" s="751">
        <f>MIN(INT(($U$7*P103*$T$16)*(1+$B$33+$E$33+$B$51)),ReadMe!$M$94)</f>
        <v>10795</v>
      </c>
      <c r="Q109" s="1238"/>
      <c r="R109" s="268" t="s">
        <v>58</v>
      </c>
      <c r="S109" s="270">
        <f>MIN(INT(P109*$F$41),ReadMe!$M$94)</f>
        <v>16192</v>
      </c>
      <c r="T109" s="1496"/>
      <c r="U109" s="1495"/>
    </row>
    <row r="110" spans="14:21" ht="13.5">
      <c r="N110" s="744" t="s">
        <v>141</v>
      </c>
      <c r="O110" s="77" t="s">
        <v>56</v>
      </c>
      <c r="P110" s="554">
        <f>INT(P104/$T$16*$W$3)</f>
        <v>4808</v>
      </c>
      <c r="Q110" s="744" t="s">
        <v>80</v>
      </c>
      <c r="R110" s="77" t="s">
        <v>56</v>
      </c>
      <c r="S110" s="214">
        <f>INT(P107/$T$16*$W$3)</f>
        <v>2644</v>
      </c>
      <c r="T110" s="1488" t="s">
        <v>82</v>
      </c>
      <c r="U110" s="731">
        <f>IF(S103&gt;1,INT((P104+P107)*S103*0.5+(P110+S110)*S103*0.5),"-")</f>
        <v>43120</v>
      </c>
    </row>
    <row r="111" spans="14:21" ht="13.5">
      <c r="N111" s="269" t="s">
        <v>78</v>
      </c>
      <c r="O111" s="44" t="s">
        <v>57</v>
      </c>
      <c r="P111" s="555">
        <f>INT(P105/$T$16*$W$3)</f>
        <v>5839</v>
      </c>
      <c r="Q111" s="269" t="s">
        <v>78</v>
      </c>
      <c r="R111" s="44" t="s">
        <v>57</v>
      </c>
      <c r="S111" s="215">
        <f>INT(P108/$T$16*$W$3)</f>
        <v>3211</v>
      </c>
      <c r="T111" s="1489"/>
      <c r="U111" s="733">
        <f>IF(S103&gt;1,INT((U104+U107)*S103*0.5+(P111+S111)*S103*0.5),"-")</f>
        <v>57210</v>
      </c>
    </row>
    <row r="112" spans="14:21" ht="14.25" thickBot="1">
      <c r="N112" s="269"/>
      <c r="O112" s="69" t="s">
        <v>58</v>
      </c>
      <c r="P112" s="751">
        <f>INT(P106/$T$16*$W$3)</f>
        <v>6869</v>
      </c>
      <c r="Q112" s="269"/>
      <c r="R112" s="69" t="s">
        <v>58</v>
      </c>
      <c r="S112" s="753">
        <f>INT(P109/$T$16*$W$3)</f>
        <v>3778</v>
      </c>
      <c r="T112" s="1490"/>
      <c r="U112" s="758">
        <f>IF(S103&gt;1,INT((S106+S109)*S103*0.5+(P112+S112)*S103*0.5),"-")</f>
        <v>84421</v>
      </c>
    </row>
    <row r="113" spans="14:21" ht="14.25" thickBot="1">
      <c r="N113" s="734"/>
      <c r="O113" s="754"/>
      <c r="P113" s="755"/>
      <c r="Q113" s="735"/>
      <c r="R113" s="754"/>
      <c r="S113" s="755"/>
      <c r="T113" s="756"/>
      <c r="U113" s="757"/>
    </row>
    <row r="114" spans="14:21" ht="13.5">
      <c r="N114" s="269"/>
      <c r="O114" s="91" t="s">
        <v>56</v>
      </c>
      <c r="P114" s="681">
        <f>MIN(INT(($R$4*P103*$T$16)*(1+$B$33+$E$33+$B$51)),ReadMe!$M$94)</f>
        <v>21296</v>
      </c>
      <c r="Q114" s="1472" t="s">
        <v>406</v>
      </c>
      <c r="R114" s="712" t="s">
        <v>56</v>
      </c>
      <c r="S114" s="663">
        <f>MIN(INT(P114*$E$41),ReadMe!$M$94)</f>
        <v>31944</v>
      </c>
      <c r="T114" s="1508" t="s">
        <v>127</v>
      </c>
      <c r="U114" s="1481">
        <f>INT(P115*(1-$G$41)+S115*$G$41)</f>
        <v>29091</v>
      </c>
    </row>
    <row r="115" spans="14:21" ht="13.5">
      <c r="N115" s="269" t="s">
        <v>112</v>
      </c>
      <c r="O115" s="44" t="s">
        <v>57</v>
      </c>
      <c r="P115" s="555">
        <f>INT((P114+P116)/2)</f>
        <v>25859</v>
      </c>
      <c r="Q115" s="1069"/>
      <c r="R115" s="80" t="s">
        <v>57</v>
      </c>
      <c r="S115" s="161">
        <f>INT((S114+S116)/2)</f>
        <v>38789</v>
      </c>
      <c r="T115" s="1433"/>
      <c r="U115" s="1409"/>
    </row>
    <row r="116" spans="14:21" ht="14.25" thickBot="1">
      <c r="N116" s="745"/>
      <c r="O116" s="15" t="s">
        <v>58</v>
      </c>
      <c r="P116" s="556">
        <f>MIN(INT(($T$4*P103*$T$16)*(1+$B$33+$E$33+$B$51)),ReadMe!$M$94)</f>
        <v>30423</v>
      </c>
      <c r="Q116" s="1070"/>
      <c r="R116" s="87" t="s">
        <v>58</v>
      </c>
      <c r="S116" s="162">
        <f>MIN(INT(P116*$F$41),ReadMe!$M$94)</f>
        <v>45634</v>
      </c>
      <c r="T116" s="1443"/>
      <c r="U116" s="1459"/>
    </row>
    <row r="117" spans="14:21" ht="13.5">
      <c r="N117" s="988" t="s">
        <v>317</v>
      </c>
      <c r="O117" s="77" t="s">
        <v>56</v>
      </c>
      <c r="P117" s="554">
        <f>INT(P114*$W$3)</f>
        <v>14907</v>
      </c>
      <c r="Q117" s="1023" t="s">
        <v>84</v>
      </c>
      <c r="R117" s="1024"/>
      <c r="S117" s="1024"/>
      <c r="T117" s="500" t="s">
        <v>56</v>
      </c>
      <c r="U117" s="560">
        <f>P114+P117</f>
        <v>36203</v>
      </c>
    </row>
    <row r="118" spans="14:21" ht="13.5">
      <c r="N118" s="1051"/>
      <c r="O118" s="44" t="s">
        <v>57</v>
      </c>
      <c r="P118" s="555">
        <f>INT(P115*$W$3)</f>
        <v>18101</v>
      </c>
      <c r="Q118" s="1334"/>
      <c r="R118" s="1335"/>
      <c r="S118" s="1335"/>
      <c r="T118" s="501" t="s">
        <v>140</v>
      </c>
      <c r="U118" s="741">
        <f>U114+P118</f>
        <v>47192</v>
      </c>
    </row>
    <row r="119" spans="14:21" ht="14.25" thickBot="1">
      <c r="N119" s="989"/>
      <c r="O119" s="15" t="s">
        <v>58</v>
      </c>
      <c r="P119" s="556">
        <f>INT(P116*$W$3)</f>
        <v>21296</v>
      </c>
      <c r="Q119" s="1276"/>
      <c r="R119" s="1336"/>
      <c r="S119" s="1336"/>
      <c r="T119" s="14" t="s">
        <v>58</v>
      </c>
      <c r="U119" s="742">
        <f>S116+P119</f>
        <v>66930</v>
      </c>
    </row>
  </sheetData>
  <sheetProtection/>
  <protectedRanges>
    <protectedRange sqref="D44:D45 D47" name="範囲1_1_1"/>
  </protectedRanges>
  <mergeCells count="162">
    <mergeCell ref="B63:L63"/>
    <mergeCell ref="B62:L62"/>
    <mergeCell ref="Q84:Q86"/>
    <mergeCell ref="N87:N89"/>
    <mergeCell ref="N82:U82"/>
    <mergeCell ref="P83:Q83"/>
    <mergeCell ref="U75:U77"/>
    <mergeCell ref="T72:T74"/>
    <mergeCell ref="T63:T65"/>
    <mergeCell ref="U63:U65"/>
    <mergeCell ref="B56:L56"/>
    <mergeCell ref="N10:N12"/>
    <mergeCell ref="Q10:Q12"/>
    <mergeCell ref="N13:N15"/>
    <mergeCell ref="Q13:S15"/>
    <mergeCell ref="E47:F47"/>
    <mergeCell ref="B55:L55"/>
    <mergeCell ref="B50:D50"/>
    <mergeCell ref="B51:D51"/>
    <mergeCell ref="B53:L53"/>
    <mergeCell ref="B61:L61"/>
    <mergeCell ref="B60:L60"/>
    <mergeCell ref="B57:L57"/>
    <mergeCell ref="B58:L58"/>
    <mergeCell ref="B59:L59"/>
    <mergeCell ref="V41:X41"/>
    <mergeCell ref="V42:X42"/>
    <mergeCell ref="D9:D10"/>
    <mergeCell ref="U10:U12"/>
    <mergeCell ref="T10:T12"/>
    <mergeCell ref="Q16:R16"/>
    <mergeCell ref="N17:O17"/>
    <mergeCell ref="N16:O16"/>
    <mergeCell ref="Q17:R17"/>
    <mergeCell ref="B33:D33"/>
    <mergeCell ref="V43:Y43"/>
    <mergeCell ref="U60:U62"/>
    <mergeCell ref="N45:U45"/>
    <mergeCell ref="P46:Q46"/>
    <mergeCell ref="T47:T49"/>
    <mergeCell ref="T60:T62"/>
    <mergeCell ref="P59:Q59"/>
    <mergeCell ref="N58:U58"/>
    <mergeCell ref="U47:U49"/>
    <mergeCell ref="S46:T46"/>
    <mergeCell ref="N70:U70"/>
    <mergeCell ref="U72:U74"/>
    <mergeCell ref="T75:T77"/>
    <mergeCell ref="P71:Q71"/>
    <mergeCell ref="Q63:Q65"/>
    <mergeCell ref="N98:O98"/>
    <mergeCell ref="U114:U116"/>
    <mergeCell ref="T114:T116"/>
    <mergeCell ref="T84:T86"/>
    <mergeCell ref="U84:U86"/>
    <mergeCell ref="T107:T109"/>
    <mergeCell ref="U107:U109"/>
    <mergeCell ref="T104:T106"/>
    <mergeCell ref="U104:U106"/>
    <mergeCell ref="U94:U96"/>
    <mergeCell ref="S92:T92"/>
    <mergeCell ref="Q87:S89"/>
    <mergeCell ref="N93:O93"/>
    <mergeCell ref="S93:T93"/>
    <mergeCell ref="Q94:Q96"/>
    <mergeCell ref="N91:U91"/>
    <mergeCell ref="Q47:Q49"/>
    <mergeCell ref="Q50:Q52"/>
    <mergeCell ref="T50:T52"/>
    <mergeCell ref="U50:U52"/>
    <mergeCell ref="T53:T55"/>
    <mergeCell ref="N56:Q56"/>
    <mergeCell ref="R56:U56"/>
    <mergeCell ref="Q60:Q62"/>
    <mergeCell ref="T27:T29"/>
    <mergeCell ref="N30:Q30"/>
    <mergeCell ref="N32:S32"/>
    <mergeCell ref="Q21:Q23"/>
    <mergeCell ref="R30:U30"/>
    <mergeCell ref="Q24:Q26"/>
    <mergeCell ref="Q34:Q36"/>
    <mergeCell ref="U34:U36"/>
    <mergeCell ref="P33:Q33"/>
    <mergeCell ref="S33:T33"/>
    <mergeCell ref="B54:L54"/>
    <mergeCell ref="B45:C45"/>
    <mergeCell ref="E45:F45"/>
    <mergeCell ref="I50:J50"/>
    <mergeCell ref="B49:D49"/>
    <mergeCell ref="B46:C46"/>
    <mergeCell ref="E46:F46"/>
    <mergeCell ref="B47:C47"/>
    <mergeCell ref="I47:K47"/>
    <mergeCell ref="I48:J48"/>
    <mergeCell ref="B32:D32"/>
    <mergeCell ref="E32:F32"/>
    <mergeCell ref="B29:K29"/>
    <mergeCell ref="B30:D30"/>
    <mergeCell ref="E30:F30"/>
    <mergeCell ref="B31:D31"/>
    <mergeCell ref="E31:F31"/>
    <mergeCell ref="F1:P1"/>
    <mergeCell ref="N2:P2"/>
    <mergeCell ref="N19:U19"/>
    <mergeCell ref="S20:T20"/>
    <mergeCell ref="R2:T2"/>
    <mergeCell ref="P6:Q6"/>
    <mergeCell ref="T6:U6"/>
    <mergeCell ref="N6:O6"/>
    <mergeCell ref="E33:F33"/>
    <mergeCell ref="I35:K35"/>
    <mergeCell ref="B4:D4"/>
    <mergeCell ref="T34:T36"/>
    <mergeCell ref="P20:Q20"/>
    <mergeCell ref="T24:T26"/>
    <mergeCell ref="R6:S6"/>
    <mergeCell ref="N8:U8"/>
    <mergeCell ref="P9:Q9"/>
    <mergeCell ref="S9:U9"/>
    <mergeCell ref="I36:K36"/>
    <mergeCell ref="B35:D35"/>
    <mergeCell ref="B36:D36"/>
    <mergeCell ref="B38:C38"/>
    <mergeCell ref="B40:D40"/>
    <mergeCell ref="B41:D41"/>
    <mergeCell ref="B42:D42"/>
    <mergeCell ref="E42:G42"/>
    <mergeCell ref="B44:C44"/>
    <mergeCell ref="E44:F44"/>
    <mergeCell ref="I49:J49"/>
    <mergeCell ref="B2:C2"/>
    <mergeCell ref="B26:C26"/>
    <mergeCell ref="I43:K43"/>
    <mergeCell ref="B37:C37"/>
    <mergeCell ref="I39:J39"/>
    <mergeCell ref="I41:J41"/>
    <mergeCell ref="B39:C39"/>
    <mergeCell ref="B14:C14"/>
    <mergeCell ref="U24:U26"/>
    <mergeCell ref="T21:T23"/>
    <mergeCell ref="U21:U23"/>
    <mergeCell ref="Q37:Q39"/>
    <mergeCell ref="T40:T42"/>
    <mergeCell ref="N43:Q43"/>
    <mergeCell ref="R43:U43"/>
    <mergeCell ref="U37:U39"/>
    <mergeCell ref="T37:T39"/>
    <mergeCell ref="T110:T112"/>
    <mergeCell ref="T66:T68"/>
    <mergeCell ref="Q72:Q74"/>
    <mergeCell ref="Q75:Q77"/>
    <mergeCell ref="T78:T80"/>
    <mergeCell ref="Q103:R103"/>
    <mergeCell ref="N102:U102"/>
    <mergeCell ref="N103:O103"/>
    <mergeCell ref="P92:Q92"/>
    <mergeCell ref="T94:T96"/>
    <mergeCell ref="N117:N119"/>
    <mergeCell ref="Q117:S119"/>
    <mergeCell ref="Q104:Q106"/>
    <mergeCell ref="Q107:Q109"/>
    <mergeCell ref="Q114:Q116"/>
  </mergeCells>
  <printOptions/>
  <pageMargins left="0.75" right="0.75" top="1" bottom="1" header="0.512" footer="0.512"/>
  <pageSetup horizontalDpi="300" verticalDpi="300" orientation="portrait" paperSize="9" r:id="rId2"/>
  <ignoredErrors>
    <ignoredError sqref="G27:J27" formulaRange="1"/>
  </ignoredErrors>
  <legacyDrawing r:id="rId1"/>
</worksheet>
</file>

<file path=xl/worksheets/sheet9.xml><?xml version="1.0" encoding="utf-8"?>
<worksheet xmlns="http://schemas.openxmlformats.org/spreadsheetml/2006/main" xmlns:r="http://schemas.openxmlformats.org/officeDocument/2006/relationships">
  <dimension ref="A1:AB81"/>
  <sheetViews>
    <sheetView workbookViewId="0" topLeftCell="A1">
      <selection activeCell="A1" sqref="A1"/>
    </sheetView>
  </sheetViews>
  <sheetFormatPr defaultColWidth="9.00390625" defaultRowHeight="13.5"/>
  <cols>
    <col min="1" max="1" width="2.625" style="0" customWidth="1"/>
    <col min="2" max="11" width="5.625" style="0" customWidth="1"/>
    <col min="12" max="13" width="2.625" style="0" customWidth="1"/>
    <col min="22" max="22" width="1.625" style="0" customWidth="1"/>
    <col min="24" max="24" width="9.50390625" style="0" bestFit="1" customWidth="1"/>
  </cols>
  <sheetData>
    <row r="1" spans="6:16" ht="24.75" thickBot="1">
      <c r="F1" s="990" t="s">
        <v>288</v>
      </c>
      <c r="G1" s="990"/>
      <c r="H1" s="990"/>
      <c r="I1" s="990"/>
      <c r="J1" s="990"/>
      <c r="K1" s="990"/>
      <c r="L1" s="990"/>
      <c r="M1" s="990"/>
      <c r="N1" s="990"/>
      <c r="O1" s="990"/>
      <c r="P1" s="990"/>
    </row>
    <row r="2" spans="2:20" ht="14.25" thickBot="1">
      <c r="B2" s="1078" t="s">
        <v>282</v>
      </c>
      <c r="C2" s="1094"/>
      <c r="D2" s="2">
        <v>150</v>
      </c>
      <c r="E2" s="1"/>
      <c r="F2" s="3" t="s">
        <v>301</v>
      </c>
      <c r="G2" s="3" t="s">
        <v>283</v>
      </c>
      <c r="H2" s="3" t="s">
        <v>284</v>
      </c>
      <c r="I2" s="3" t="s">
        <v>286</v>
      </c>
      <c r="J2" s="3" t="s">
        <v>285</v>
      </c>
      <c r="K2" s="4" t="s">
        <v>430</v>
      </c>
      <c r="N2" s="991" t="s">
        <v>104</v>
      </c>
      <c r="O2" s="992"/>
      <c r="P2" s="987"/>
      <c r="Q2" s="58"/>
      <c r="R2" s="991" t="s">
        <v>418</v>
      </c>
      <c r="S2" s="992"/>
      <c r="T2" s="987"/>
    </row>
    <row r="3" spans="2:20" ht="14.25" thickBot="1">
      <c r="B3" s="5" t="s">
        <v>40</v>
      </c>
      <c r="C3" s="569"/>
      <c r="D3" s="6">
        <f>((D2-1)*5+IF(D2&gt;=120,35,IF(D2&gt;=70,30,25)))-(G3+H3+J3+I3)</f>
        <v>0</v>
      </c>
      <c r="E3" s="7" t="s">
        <v>41</v>
      </c>
      <c r="F3" s="8"/>
      <c r="G3" s="8">
        <v>4</v>
      </c>
      <c r="H3" s="8">
        <v>4</v>
      </c>
      <c r="I3" s="8">
        <v>768</v>
      </c>
      <c r="J3" s="8">
        <v>4</v>
      </c>
      <c r="K3" s="9"/>
      <c r="N3" s="10" t="s">
        <v>69</v>
      </c>
      <c r="O3" s="11" t="s">
        <v>70</v>
      </c>
      <c r="P3" s="12" t="s">
        <v>71</v>
      </c>
      <c r="R3" s="10" t="s">
        <v>952</v>
      </c>
      <c r="S3" s="11" t="s">
        <v>953</v>
      </c>
      <c r="T3" s="12" t="s">
        <v>954</v>
      </c>
    </row>
    <row r="4" spans="2:23" ht="14.25" thickBot="1">
      <c r="B4" s="497" t="s">
        <v>292</v>
      </c>
      <c r="C4" s="574"/>
      <c r="D4" s="617" t="s">
        <v>986</v>
      </c>
      <c r="E4" s="7" t="s">
        <v>42</v>
      </c>
      <c r="F4" s="8">
        <v>155</v>
      </c>
      <c r="G4" s="8"/>
      <c r="H4" s="8"/>
      <c r="I4" s="8">
        <v>7</v>
      </c>
      <c r="J4" s="8"/>
      <c r="K4" s="9"/>
      <c r="N4" s="14">
        <f>P4*(0.25+0.5)</f>
        <v>7978.005</v>
      </c>
      <c r="O4" s="15">
        <f>(P4+N4)/2</f>
        <v>9307.6725</v>
      </c>
      <c r="P4" s="16">
        <f>$Q$4*($F$28+INT(($F$28-$F$25)*$E$31)+INT($F$28*($K$41+$K$50-1)))/100</f>
        <v>10637.34</v>
      </c>
      <c r="Q4" s="421">
        <f>1*(4*$I$28+$J$28)</f>
        <v>3999</v>
      </c>
      <c r="R4" s="14">
        <f>N4*$G$47*(1-$G$44/100)</f>
        <v>5983.50375</v>
      </c>
      <c r="S4" s="15">
        <f>O4*$G$47*(1-$G$44/100)</f>
        <v>6980.754375</v>
      </c>
      <c r="T4" s="16">
        <f>P4*$G$47*(1-$G$44/100)</f>
        <v>7978.005</v>
      </c>
      <c r="W4" s="336"/>
    </row>
    <row r="5" spans="2:16" ht="14.25" thickBot="1">
      <c r="B5" s="1" t="s">
        <v>289</v>
      </c>
      <c r="C5" s="3"/>
      <c r="D5" s="142">
        <v>30</v>
      </c>
      <c r="E5" s="43" t="s">
        <v>44</v>
      </c>
      <c r="F5" s="8">
        <v>18</v>
      </c>
      <c r="G5" s="8"/>
      <c r="H5" s="8"/>
      <c r="I5" s="8">
        <v>9</v>
      </c>
      <c r="J5" s="8"/>
      <c r="K5" s="9"/>
      <c r="N5" s="484">
        <f>IF(D4="火",1.25,IF(D4="毒",1.1,1))</f>
        <v>1</v>
      </c>
      <c r="O5" s="484">
        <f>IF(D4="毒",1.25,IF(D4="火",1.1,1))</f>
        <v>1</v>
      </c>
      <c r="P5" s="484"/>
    </row>
    <row r="6" spans="2:21" ht="14.25" thickBot="1">
      <c r="B6" s="7" t="s">
        <v>290</v>
      </c>
      <c r="C6" s="44"/>
      <c r="D6" s="9">
        <v>30</v>
      </c>
      <c r="E6" s="43" t="s">
        <v>45</v>
      </c>
      <c r="F6" s="8"/>
      <c r="G6" s="8">
        <v>10</v>
      </c>
      <c r="H6" s="8">
        <v>10</v>
      </c>
      <c r="I6" s="8">
        <v>20</v>
      </c>
      <c r="J6" s="8">
        <v>10</v>
      </c>
      <c r="K6" s="9"/>
      <c r="N6" s="977" t="s">
        <v>85</v>
      </c>
      <c r="O6" s="978"/>
      <c r="P6" s="978"/>
      <c r="Q6" s="978"/>
      <c r="R6" s="978"/>
      <c r="S6" s="978"/>
      <c r="T6" s="978"/>
      <c r="U6" s="979"/>
    </row>
    <row r="7" spans="2:21" ht="14.25" thickBot="1">
      <c r="B7" s="1231" t="s">
        <v>291</v>
      </c>
      <c r="C7" s="1232"/>
      <c r="D7" s="9">
        <v>30</v>
      </c>
      <c r="E7" s="43" t="s">
        <v>46</v>
      </c>
      <c r="F7" s="8"/>
      <c r="G7" s="8"/>
      <c r="H7" s="8"/>
      <c r="I7" s="8"/>
      <c r="J7" s="8"/>
      <c r="K7" s="9"/>
      <c r="N7" s="1308" t="s">
        <v>446</v>
      </c>
      <c r="O7" s="1540"/>
      <c r="P7" s="415">
        <v>180</v>
      </c>
      <c r="Q7" s="10" t="s">
        <v>551</v>
      </c>
      <c r="R7" s="11"/>
      <c r="S7" s="260">
        <f>INT(D10/3)/100</f>
        <v>0.1</v>
      </c>
      <c r="T7" s="1336" t="s">
        <v>89</v>
      </c>
      <c r="U7" s="1359"/>
    </row>
    <row r="8" spans="2:21" ht="13.5">
      <c r="B8" s="7" t="s">
        <v>455</v>
      </c>
      <c r="C8" s="44"/>
      <c r="D8" s="9">
        <v>30</v>
      </c>
      <c r="E8" s="43" t="s">
        <v>47</v>
      </c>
      <c r="F8" s="8">
        <v>2</v>
      </c>
      <c r="G8" s="8"/>
      <c r="H8" s="8"/>
      <c r="I8" s="8"/>
      <c r="J8" s="8"/>
      <c r="K8" s="9"/>
      <c r="N8" s="1051" t="s">
        <v>545</v>
      </c>
      <c r="O8" s="1052"/>
      <c r="P8" s="42">
        <f>IF(D10=0,0,(10+D10)*(1+D23*0.05))</f>
        <v>60</v>
      </c>
      <c r="Q8" s="7" t="s">
        <v>86</v>
      </c>
      <c r="R8" s="44"/>
      <c r="S8" s="543">
        <f>S7*P9</f>
        <v>1.4000000000000001</v>
      </c>
      <c r="T8" s="1534">
        <f>(P8/P7)*S9</f>
        <v>0.23333333333333334</v>
      </c>
      <c r="U8" s="1535"/>
    </row>
    <row r="9" spans="2:21" ht="14.25" thickBot="1">
      <c r="B9" s="5" t="s">
        <v>329</v>
      </c>
      <c r="C9" s="69"/>
      <c r="D9" s="298">
        <v>30</v>
      </c>
      <c r="E9" s="43" t="s">
        <v>48</v>
      </c>
      <c r="F9" s="8"/>
      <c r="G9" s="8">
        <v>7</v>
      </c>
      <c r="H9" s="8">
        <v>7</v>
      </c>
      <c r="I9" s="8">
        <v>7</v>
      </c>
      <c r="J9" s="8">
        <v>7</v>
      </c>
      <c r="K9" s="9"/>
      <c r="N9" s="989" t="s">
        <v>87</v>
      </c>
      <c r="O9" s="1378"/>
      <c r="P9" s="47">
        <f>MAX(INT(P8/4)-1,0)</f>
        <v>14</v>
      </c>
      <c r="Q9" s="14" t="s">
        <v>88</v>
      </c>
      <c r="R9" s="15"/>
      <c r="S9" s="29">
        <f>S8/2</f>
        <v>0.7000000000000001</v>
      </c>
      <c r="T9" s="1536"/>
      <c r="U9" s="1537"/>
    </row>
    <row r="10" spans="1:28" ht="14.25" thickBot="1">
      <c r="A10" s="421" t="b">
        <v>1</v>
      </c>
      <c r="B10" s="37" t="s">
        <v>96</v>
      </c>
      <c r="C10" s="654"/>
      <c r="D10" s="142">
        <v>30</v>
      </c>
      <c r="E10" s="43" t="s">
        <v>49</v>
      </c>
      <c r="F10" s="8">
        <v>16</v>
      </c>
      <c r="G10" s="8"/>
      <c r="H10" s="8"/>
      <c r="I10" s="8">
        <v>9</v>
      </c>
      <c r="J10" s="8"/>
      <c r="K10" s="9">
        <v>1</v>
      </c>
      <c r="T10" s="421">
        <f>IF(A11="true",1+T8,1)</f>
        <v>1.2333333333333334</v>
      </c>
      <c r="Z10" s="99"/>
      <c r="AA10" s="99"/>
      <c r="AB10" s="99"/>
    </row>
    <row r="11" spans="1:21" ht="14.25" thickBot="1">
      <c r="A11" s="421" t="str">
        <f>IF(A10=TRUE,"TRUE",IF(D11=1,"TRUE","FLASE"))</f>
        <v>TRUE</v>
      </c>
      <c r="B11" s="14" t="s">
        <v>765</v>
      </c>
      <c r="C11" s="15"/>
      <c r="D11" s="533"/>
      <c r="E11" s="43" t="s">
        <v>390</v>
      </c>
      <c r="F11" s="8"/>
      <c r="G11" s="8"/>
      <c r="H11" s="8"/>
      <c r="I11" s="8">
        <v>22</v>
      </c>
      <c r="J11" s="8"/>
      <c r="K11" s="9"/>
      <c r="N11" s="977" t="s">
        <v>330</v>
      </c>
      <c r="O11" s="978"/>
      <c r="P11" s="978"/>
      <c r="Q11" s="978"/>
      <c r="R11" s="978"/>
      <c r="S11" s="978"/>
      <c r="T11" s="147" t="s">
        <v>293</v>
      </c>
      <c r="U11" s="66">
        <f>D5</f>
        <v>30</v>
      </c>
    </row>
    <row r="12" spans="2:21" ht="14.25" thickBot="1">
      <c r="B12" s="762" t="s">
        <v>1090</v>
      </c>
      <c r="C12" s="743"/>
      <c r="D12" s="763"/>
      <c r="E12" s="43" t="s">
        <v>339</v>
      </c>
      <c r="F12" s="8"/>
      <c r="G12" s="8"/>
      <c r="H12" s="8"/>
      <c r="I12" s="8"/>
      <c r="J12" s="8"/>
      <c r="K12" s="9"/>
      <c r="N12" s="147" t="s">
        <v>104</v>
      </c>
      <c r="O12" s="650">
        <f>(470+5*U11)/100</f>
        <v>6.2</v>
      </c>
      <c r="P12" s="1068" t="s">
        <v>327</v>
      </c>
      <c r="Q12" s="1390"/>
      <c r="R12" s="772">
        <f>(100+2*U11)/100</f>
        <v>1.6</v>
      </c>
      <c r="S12" s="1538" t="s">
        <v>199</v>
      </c>
      <c r="T12" s="1539"/>
      <c r="U12" s="238">
        <v>83</v>
      </c>
    </row>
    <row r="13" spans="1:21" ht="14.25" thickBot="1">
      <c r="A13" s="421" t="b">
        <v>0</v>
      </c>
      <c r="B13" s="330" t="s">
        <v>1092</v>
      </c>
      <c r="C13" s="331"/>
      <c r="D13" s="219"/>
      <c r="E13" s="43" t="s">
        <v>389</v>
      </c>
      <c r="F13" s="8"/>
      <c r="G13" s="8"/>
      <c r="H13" s="8"/>
      <c r="I13" s="8"/>
      <c r="J13" s="8"/>
      <c r="K13" s="9"/>
      <c r="N13" s="1068" t="s">
        <v>711</v>
      </c>
      <c r="O13" s="1036"/>
      <c r="P13" s="770">
        <f>INT(P4*R12*O5)</f>
        <v>17019</v>
      </c>
      <c r="Q13" s="1068" t="s">
        <v>911</v>
      </c>
      <c r="R13" s="1036"/>
      <c r="S13" s="747">
        <f>INT(P13*1.5)</f>
        <v>25528</v>
      </c>
      <c r="T13" s="771" t="s">
        <v>908</v>
      </c>
      <c r="U13" s="84">
        <f>3+INT(U11/15)</f>
        <v>5</v>
      </c>
    </row>
    <row r="14" spans="1:21" ht="13.5" customHeight="1" thickBot="1">
      <c r="A14" s="421" t="str">
        <f>IF(A13=TRUE,"TRUE",IF(D14=1,"TRUE","FLASE"))</f>
        <v>FLASE</v>
      </c>
      <c r="B14" s="330" t="s">
        <v>1091</v>
      </c>
      <c r="C14" s="331"/>
      <c r="D14" s="640"/>
      <c r="E14" s="43" t="s">
        <v>59</v>
      </c>
      <c r="F14" s="8"/>
      <c r="G14" s="8"/>
      <c r="H14" s="8"/>
      <c r="I14" s="8">
        <v>5</v>
      </c>
      <c r="J14" s="8"/>
      <c r="K14" s="9"/>
      <c r="N14" s="1208" t="s">
        <v>303</v>
      </c>
      <c r="O14" s="139" t="s">
        <v>56</v>
      </c>
      <c r="P14" s="149">
        <f>MIN(INT(P18*1.5),ReadMe!$M$94)</f>
        <v>83469</v>
      </c>
      <c r="Q14" s="1529" t="s">
        <v>303</v>
      </c>
      <c r="R14" s="79" t="s">
        <v>56</v>
      </c>
      <c r="S14" s="663">
        <f>MIN(INT(P14*$E$41),ReadMe!$M$94)</f>
        <v>100162</v>
      </c>
      <c r="T14" s="1518" t="s">
        <v>303</v>
      </c>
      <c r="U14" s="1408">
        <f>INT(P15*(1-$G$41)+S15*$G$41)</f>
        <v>99188</v>
      </c>
    </row>
    <row r="15" spans="2:26" ht="14.25" thickBot="1">
      <c r="B15" s="237"/>
      <c r="C15" s="416"/>
      <c r="D15" s="238"/>
      <c r="E15" s="43" t="s">
        <v>60</v>
      </c>
      <c r="F15" s="8">
        <v>8</v>
      </c>
      <c r="G15" s="8"/>
      <c r="H15" s="8"/>
      <c r="I15" s="8">
        <v>8</v>
      </c>
      <c r="J15" s="8"/>
      <c r="K15" s="9"/>
      <c r="N15" s="1209"/>
      <c r="O15" s="44" t="s">
        <v>57</v>
      </c>
      <c r="P15" s="63">
        <f>MIN(INT(P19*1.5),ReadMe!$M$94)</f>
        <v>97380</v>
      </c>
      <c r="Q15" s="1529"/>
      <c r="R15" s="80" t="s">
        <v>57</v>
      </c>
      <c r="S15" s="161">
        <f>INT((S14+S16)/2)</f>
        <v>133550</v>
      </c>
      <c r="T15" s="1329"/>
      <c r="U15" s="1409"/>
      <c r="W15" s="1546" t="s">
        <v>381</v>
      </c>
      <c r="X15" s="1547"/>
      <c r="Y15" s="1547"/>
      <c r="Z15" s="1548"/>
    </row>
    <row r="16" spans="2:26" ht="14.25" thickBot="1">
      <c r="B16" s="23"/>
      <c r="C16" s="22"/>
      <c r="D16" s="143"/>
      <c r="E16" s="43" t="s">
        <v>61</v>
      </c>
      <c r="F16" s="8">
        <v>5</v>
      </c>
      <c r="G16" s="8"/>
      <c r="H16" s="8"/>
      <c r="I16" s="8">
        <v>8</v>
      </c>
      <c r="J16" s="8"/>
      <c r="K16" s="9"/>
      <c r="N16" s="1210"/>
      <c r="O16" s="15" t="s">
        <v>58</v>
      </c>
      <c r="P16" s="150">
        <f>MIN(INT(P20*1.5),ReadMe!$M$94)</f>
        <v>111292</v>
      </c>
      <c r="Q16" s="183" t="s">
        <v>324</v>
      </c>
      <c r="R16" s="87" t="s">
        <v>58</v>
      </c>
      <c r="S16" s="162">
        <f>MIN(INT(P16*$F$41),ReadMe!$M$94)</f>
        <v>166938</v>
      </c>
      <c r="T16" s="184" t="s">
        <v>140</v>
      </c>
      <c r="U16" s="1409"/>
      <c r="W16" s="1068" t="s">
        <v>382</v>
      </c>
      <c r="X16" s="1036"/>
      <c r="Y16" s="1036" t="s">
        <v>383</v>
      </c>
      <c r="Z16" s="1037"/>
    </row>
    <row r="17" spans="2:26" ht="14.25" thickBot="1">
      <c r="B17" s="141"/>
      <c r="C17" s="58"/>
      <c r="D17" s="144"/>
      <c r="E17" s="43" t="s">
        <v>1059</v>
      </c>
      <c r="F17" s="8"/>
      <c r="G17" s="8">
        <v>3</v>
      </c>
      <c r="H17" s="8">
        <v>3</v>
      </c>
      <c r="I17" s="8">
        <v>3</v>
      </c>
      <c r="J17" s="8">
        <v>3</v>
      </c>
      <c r="K17" s="9"/>
      <c r="N17" s="1205" t="s">
        <v>95</v>
      </c>
      <c r="O17" s="1254"/>
      <c r="P17" s="1254"/>
      <c r="Q17" s="1254"/>
      <c r="R17" s="1254"/>
      <c r="S17" s="1530">
        <f>(U14*U12*$T$10+IF($A$14="true",$S$55,0)+S13*60)*$G$46</f>
        <v>11685224.933333334</v>
      </c>
      <c r="T17" s="1298"/>
      <c r="U17" s="1299"/>
      <c r="W17" s="1532">
        <f>INT(S17-U14*$P$69)+$O$71*$S$69*$G$46</f>
        <v>12764949</v>
      </c>
      <c r="X17" s="1123"/>
      <c r="Y17" s="1532">
        <f>INT(S17-U14*$P$69)+$Q$71*$S$69*$G$46</f>
        <v>13323409</v>
      </c>
      <c r="Z17" s="1124"/>
    </row>
    <row r="18" spans="2:26" ht="13.5">
      <c r="B18" s="141"/>
      <c r="C18" s="58"/>
      <c r="D18" s="144"/>
      <c r="E18" s="43" t="s">
        <v>1059</v>
      </c>
      <c r="F18" s="8">
        <v>1</v>
      </c>
      <c r="G18" s="8">
        <v>1</v>
      </c>
      <c r="H18" s="8">
        <v>1</v>
      </c>
      <c r="I18" s="8">
        <v>1</v>
      </c>
      <c r="J18" s="8">
        <v>1</v>
      </c>
      <c r="K18" s="9"/>
      <c r="N18" s="988" t="s">
        <v>131</v>
      </c>
      <c r="O18" s="77" t="s">
        <v>56</v>
      </c>
      <c r="P18" s="554">
        <f>MIN(INT(($R$4*O12)*(1+$B$33+$E$33+$B$51)*$D$25*$O$5),ReadMe!$M$94)</f>
        <v>55646</v>
      </c>
      <c r="Q18" s="975" t="s">
        <v>406</v>
      </c>
      <c r="R18" s="194" t="s">
        <v>56</v>
      </c>
      <c r="S18" s="160">
        <f>MIN(INT(P18*$E$41),ReadMe!$M$94)</f>
        <v>66775</v>
      </c>
      <c r="T18" s="1432" t="s">
        <v>127</v>
      </c>
      <c r="U18" s="1408">
        <f>INT(P19*(1-$G$41)+S19*$G$41)</f>
        <v>66125</v>
      </c>
      <c r="W18" s="237"/>
      <c r="X18" s="416"/>
      <c r="Y18" s="416"/>
      <c r="Z18" s="238"/>
    </row>
    <row r="19" spans="2:26" ht="14.25" thickBot="1">
      <c r="B19" s="23"/>
      <c r="C19" s="22"/>
      <c r="D19" s="143"/>
      <c r="E19" s="43" t="s">
        <v>1059</v>
      </c>
      <c r="F19" s="8">
        <v>1</v>
      </c>
      <c r="G19" s="8">
        <v>1</v>
      </c>
      <c r="H19" s="8">
        <v>1</v>
      </c>
      <c r="I19" s="8">
        <v>1</v>
      </c>
      <c r="J19" s="8">
        <v>1</v>
      </c>
      <c r="K19" s="9"/>
      <c r="N19" s="1051"/>
      <c r="O19" s="44" t="s">
        <v>57</v>
      </c>
      <c r="P19" s="555">
        <f>INT((P18+P20)/2)</f>
        <v>64920</v>
      </c>
      <c r="Q19" s="1069"/>
      <c r="R19" s="80" t="s">
        <v>57</v>
      </c>
      <c r="S19" s="161">
        <f>INT((S18+S20)/2)</f>
        <v>89033</v>
      </c>
      <c r="T19" s="1433"/>
      <c r="U19" s="1409"/>
      <c r="W19" s="23"/>
      <c r="X19" s="22"/>
      <c r="Y19" s="22"/>
      <c r="Z19" s="143"/>
    </row>
    <row r="20" spans="2:26" ht="14.25" thickBot="1">
      <c r="B20" s="141"/>
      <c r="C20" s="58"/>
      <c r="D20" s="143"/>
      <c r="E20" s="43" t="s">
        <v>1059</v>
      </c>
      <c r="F20" s="8"/>
      <c r="G20" s="8"/>
      <c r="H20" s="8"/>
      <c r="I20" s="8"/>
      <c r="J20" s="8"/>
      <c r="K20" s="9"/>
      <c r="N20" s="989"/>
      <c r="O20" s="15" t="s">
        <v>58</v>
      </c>
      <c r="P20" s="556">
        <f>MIN(INT(($T$4*O12)*(1+$B$33+$E$33+$B$51)*$D$25*$O$5),ReadMe!$M$94)</f>
        <v>74195</v>
      </c>
      <c r="Q20" s="1070"/>
      <c r="R20" s="87" t="s">
        <v>58</v>
      </c>
      <c r="S20" s="162">
        <f>MIN(INT(P20*$F$41),ReadMe!$M$94)</f>
        <v>111292</v>
      </c>
      <c r="T20" s="1433"/>
      <c r="U20" s="1409"/>
      <c r="W20" s="1068" t="s">
        <v>382</v>
      </c>
      <c r="X20" s="1036"/>
      <c r="Y20" s="1036" t="s">
        <v>383</v>
      </c>
      <c r="Z20" s="1037"/>
    </row>
    <row r="21" spans="1:26" ht="14.25" thickBot="1">
      <c r="A21" s="421"/>
      <c r="B21" s="23"/>
      <c r="C21" s="22"/>
      <c r="D21" s="143"/>
      <c r="E21" s="43" t="s">
        <v>970</v>
      </c>
      <c r="F21" s="8"/>
      <c r="G21" s="8">
        <v>2</v>
      </c>
      <c r="H21" s="8">
        <v>2</v>
      </c>
      <c r="I21" s="8">
        <v>2</v>
      </c>
      <c r="J21" s="8">
        <v>2</v>
      </c>
      <c r="K21" s="9"/>
      <c r="N21" s="1205" t="s">
        <v>94</v>
      </c>
      <c r="O21" s="1254"/>
      <c r="P21" s="1254"/>
      <c r="Q21" s="1254"/>
      <c r="R21" s="1254"/>
      <c r="S21" s="1530">
        <f>(U18*U12*$T$10+IF($A$14="true",$S$55,0)+P13*60)*$G$46</f>
        <v>7790135.833333334</v>
      </c>
      <c r="T21" s="1298"/>
      <c r="U21" s="1299"/>
      <c r="W21" s="1533">
        <f>INT(S21-U18*$P$69)+$O$71*$S$69*$G$46</f>
        <v>8882258</v>
      </c>
      <c r="X21" s="1125"/>
      <c r="Y21" s="1533">
        <f>INT(S21-U18*$P$69)+$Q$71*$S$69*$G$46</f>
        <v>9440718</v>
      </c>
      <c r="Z21" s="1126"/>
    </row>
    <row r="22" spans="2:11" ht="14.25" thickBot="1">
      <c r="B22" s="48"/>
      <c r="C22" s="520"/>
      <c r="D22" s="239"/>
      <c r="E22" s="43" t="s">
        <v>972</v>
      </c>
      <c r="F22" s="8"/>
      <c r="G22" s="8">
        <v>3</v>
      </c>
      <c r="H22" s="8">
        <v>3</v>
      </c>
      <c r="I22" s="8">
        <v>3</v>
      </c>
      <c r="J22" s="8">
        <v>3</v>
      </c>
      <c r="K22" s="9"/>
    </row>
    <row r="23" spans="2:21" ht="14.25" thickBot="1">
      <c r="B23" s="652" t="s">
        <v>331</v>
      </c>
      <c r="C23" s="653"/>
      <c r="D23" s="375">
        <v>10</v>
      </c>
      <c r="E23" s="43" t="s">
        <v>1210</v>
      </c>
      <c r="F23" s="8"/>
      <c r="G23" s="8"/>
      <c r="H23" s="8"/>
      <c r="I23" s="8"/>
      <c r="J23" s="8"/>
      <c r="K23" s="9"/>
      <c r="N23" s="977" t="s">
        <v>304</v>
      </c>
      <c r="O23" s="978"/>
      <c r="P23" s="978"/>
      <c r="Q23" s="978"/>
      <c r="R23" s="978"/>
      <c r="S23" s="978"/>
      <c r="T23" s="92" t="s">
        <v>293</v>
      </c>
      <c r="U23" s="93">
        <f>D6</f>
        <v>30</v>
      </c>
    </row>
    <row r="24" spans="2:21" ht="14.25" thickBot="1">
      <c r="B24" s="327" t="s">
        <v>1192</v>
      </c>
      <c r="C24" s="584"/>
      <c r="D24" s="20">
        <v>20</v>
      </c>
      <c r="E24" s="7" t="s">
        <v>1061</v>
      </c>
      <c r="F24" s="8"/>
      <c r="G24" s="8"/>
      <c r="H24" s="8"/>
      <c r="I24" s="8"/>
      <c r="J24" s="8"/>
      <c r="K24" s="9"/>
      <c r="N24" s="151" t="s">
        <v>104</v>
      </c>
      <c r="O24" s="649">
        <f>(200+3*U23)/100</f>
        <v>2.9</v>
      </c>
      <c r="P24" s="1068" t="s">
        <v>327</v>
      </c>
      <c r="Q24" s="1036"/>
      <c r="R24" s="750">
        <f>(50+2*U23)/100</f>
        <v>1.1</v>
      </c>
      <c r="S24" s="1104" t="s">
        <v>199</v>
      </c>
      <c r="T24" s="1207"/>
      <c r="U24" s="84">
        <v>83</v>
      </c>
    </row>
    <row r="25" spans="2:21" ht="14.25" customHeight="1" thickBot="1">
      <c r="B25" s="54" t="s">
        <v>105</v>
      </c>
      <c r="C25" s="598"/>
      <c r="D25" s="621">
        <f>(110+2*D24)/100</f>
        <v>1.5</v>
      </c>
      <c r="E25" s="7" t="s">
        <v>823</v>
      </c>
      <c r="F25" s="8">
        <v>20</v>
      </c>
      <c r="G25" s="8"/>
      <c r="H25" s="8"/>
      <c r="I25" s="8"/>
      <c r="J25" s="8"/>
      <c r="K25" s="9"/>
      <c r="N25" s="1068" t="s">
        <v>712</v>
      </c>
      <c r="O25" s="1036"/>
      <c r="P25" s="747">
        <f>INT(P4*R24*N5)</f>
        <v>11701</v>
      </c>
      <c r="Q25" s="1068" t="s">
        <v>911</v>
      </c>
      <c r="R25" s="1036"/>
      <c r="S25" s="747">
        <f>INT(P25*1.5)</f>
        <v>17551</v>
      </c>
      <c r="T25" s="17" t="s">
        <v>908</v>
      </c>
      <c r="U25" s="84">
        <f>5+INT(U23/6)</f>
        <v>10</v>
      </c>
    </row>
    <row r="26" spans="2:21" ht="13.5">
      <c r="B26" s="1245" t="s">
        <v>287</v>
      </c>
      <c r="C26" s="1246"/>
      <c r="D26" s="20">
        <v>9</v>
      </c>
      <c r="E26" s="235" t="s">
        <v>975</v>
      </c>
      <c r="F26" s="8"/>
      <c r="G26" s="41">
        <f>ROUNDDOWN(G3*D27%,0)</f>
        <v>0</v>
      </c>
      <c r="H26" s="41">
        <f>ROUNDDOWN(H3*D27%,0)</f>
        <v>0</v>
      </c>
      <c r="I26" s="41">
        <f>ROUNDDOWN(I3*D27%,0)</f>
        <v>38</v>
      </c>
      <c r="J26" s="41">
        <f>ROUNDDOWN(J3*D27%,0)</f>
        <v>0</v>
      </c>
      <c r="K26" s="9">
        <f>SUM(K2:K25)+D27</f>
        <v>6</v>
      </c>
      <c r="N26" s="1208" t="s">
        <v>303</v>
      </c>
      <c r="O26" s="139" t="s">
        <v>56</v>
      </c>
      <c r="P26" s="149">
        <f>MIN(INT(P30*1.5),ReadMe!$M$94)</f>
        <v>39042</v>
      </c>
      <c r="Q26" s="1528" t="s">
        <v>303</v>
      </c>
      <c r="R26" s="88" t="s">
        <v>56</v>
      </c>
      <c r="S26" s="160">
        <f>MIN(INT(P26*$E$41),ReadMe!$M$94)</f>
        <v>46850</v>
      </c>
      <c r="T26" s="1518" t="s">
        <v>303</v>
      </c>
      <c r="U26" s="1408">
        <f>INT(P27*(1-$G$41)+S27*$G$41)</f>
        <v>46394</v>
      </c>
    </row>
    <row r="27" spans="2:21" ht="14.25" thickBot="1">
      <c r="B27" s="14" t="s">
        <v>62</v>
      </c>
      <c r="C27" s="571"/>
      <c r="D27" s="47">
        <f>ROUNDUP(D26/2,0)</f>
        <v>5</v>
      </c>
      <c r="E27" s="7" t="s">
        <v>63</v>
      </c>
      <c r="F27" s="44">
        <f>D28+3*D23+10</f>
        <v>40</v>
      </c>
      <c r="G27" s="44">
        <f>SUM(G4:G25)</f>
        <v>27</v>
      </c>
      <c r="H27" s="44">
        <f>SUM(H4:H25)</f>
        <v>27</v>
      </c>
      <c r="I27" s="44">
        <f>SUM(I4:I25)</f>
        <v>105</v>
      </c>
      <c r="J27" s="44">
        <f>SUM(J4:J25)</f>
        <v>27</v>
      </c>
      <c r="K27" s="635">
        <f>SUM(K3:K26)+D32</f>
        <v>7</v>
      </c>
      <c r="N27" s="1209"/>
      <c r="O27" s="44" t="s">
        <v>57</v>
      </c>
      <c r="P27" s="63">
        <f>MIN(INT(P31*1.5),ReadMe!$M$94)</f>
        <v>45549</v>
      </c>
      <c r="Q27" s="1529"/>
      <c r="R27" s="80" t="s">
        <v>57</v>
      </c>
      <c r="S27" s="161">
        <f>INT((S26+S28)/2)</f>
        <v>62467</v>
      </c>
      <c r="T27" s="1329"/>
      <c r="U27" s="1409"/>
    </row>
    <row r="28" spans="2:24" ht="14.25" thickBot="1">
      <c r="B28" s="17" t="s">
        <v>1024</v>
      </c>
      <c r="C28" s="210"/>
      <c r="D28" s="18">
        <v>0</v>
      </c>
      <c r="E28" s="14" t="s">
        <v>55</v>
      </c>
      <c r="F28" s="49">
        <f>SUM(F4:F27)</f>
        <v>266</v>
      </c>
      <c r="G28" s="49">
        <f>INT((G3+G26+G27)*(1+G31))</f>
        <v>31</v>
      </c>
      <c r="H28" s="49">
        <f>INT((H3+H26+H27)*(1+H31))</f>
        <v>31</v>
      </c>
      <c r="I28" s="49">
        <f>INT((I3+I26+I27)*(1+I31))</f>
        <v>992</v>
      </c>
      <c r="J28" s="49">
        <f>INT((J3+J26+J27)*(1+J31))</f>
        <v>31</v>
      </c>
      <c r="K28" s="205">
        <f>($I$28+$J$28*1.2+K27)*(1+K31)</f>
        <v>1036.2</v>
      </c>
      <c r="N28" s="1210"/>
      <c r="O28" s="15" t="s">
        <v>58</v>
      </c>
      <c r="P28" s="150">
        <f>MIN(INT(P32*1.5),ReadMe!$M$94)</f>
        <v>52056</v>
      </c>
      <c r="Q28" s="183" t="s">
        <v>324</v>
      </c>
      <c r="R28" s="87" t="s">
        <v>58</v>
      </c>
      <c r="S28" s="162">
        <f>MIN(INT(P28*$F$41),ReadMe!$M$94)</f>
        <v>78084</v>
      </c>
      <c r="T28" s="184" t="s">
        <v>140</v>
      </c>
      <c r="U28" s="1409"/>
      <c r="W28" s="1165" t="s">
        <v>381</v>
      </c>
      <c r="X28" s="1167"/>
    </row>
    <row r="29" spans="2:24" ht="14.25" thickBot="1">
      <c r="B29" s="1068" t="s">
        <v>645</v>
      </c>
      <c r="C29" s="1036"/>
      <c r="D29" s="1036"/>
      <c r="E29" s="1544"/>
      <c r="F29" s="1544"/>
      <c r="G29" s="1544"/>
      <c r="H29" s="1544"/>
      <c r="I29" s="1544"/>
      <c r="J29" s="1544"/>
      <c r="K29" s="1545"/>
      <c r="N29" s="1205" t="s">
        <v>92</v>
      </c>
      <c r="O29" s="1254"/>
      <c r="P29" s="1254"/>
      <c r="Q29" s="1254"/>
      <c r="R29" s="1254"/>
      <c r="S29" s="1530">
        <f>(S33-IF($A$14="true",$S$55,0))*1.5+IF($A$14="true",$S$55,0)</f>
        <v>5802237.95</v>
      </c>
      <c r="T29" s="1298"/>
      <c r="U29" s="1299"/>
      <c r="W29" s="1310">
        <f>INT(S29-U26*$P$69)+$Q$71*$S$69*$G$46</f>
        <v>7460220</v>
      </c>
      <c r="X29" s="1358"/>
    </row>
    <row r="30" spans="2:24" ht="13.5">
      <c r="B30" s="1085" t="s">
        <v>443</v>
      </c>
      <c r="C30" s="1086"/>
      <c r="D30" s="1087"/>
      <c r="E30" s="1038" t="s">
        <v>646</v>
      </c>
      <c r="F30" s="1039"/>
      <c r="G30" s="1" t="s">
        <v>650</v>
      </c>
      <c r="H30" s="3" t="s">
        <v>649</v>
      </c>
      <c r="I30" s="3" t="s">
        <v>648</v>
      </c>
      <c r="J30" s="3" t="s">
        <v>647</v>
      </c>
      <c r="K30" s="4" t="s">
        <v>651</v>
      </c>
      <c r="N30" s="988" t="s">
        <v>131</v>
      </c>
      <c r="O30" s="77" t="s">
        <v>56</v>
      </c>
      <c r="P30" s="554">
        <f>MIN(INT(($R$4*O24)*(1+$B$33+$E$33+$B$51)*$D$25*$N$5),ReadMe!$M$94)</f>
        <v>26028</v>
      </c>
      <c r="Q30" s="975" t="s">
        <v>406</v>
      </c>
      <c r="R30" s="194" t="s">
        <v>56</v>
      </c>
      <c r="S30" s="160">
        <f>MIN(INT(P30*$E$41),ReadMe!$M$94)</f>
        <v>31233</v>
      </c>
      <c r="T30" s="1432" t="s">
        <v>127</v>
      </c>
      <c r="U30" s="1408">
        <f>INT(P31*(1-$G$41)+S31*$G$41)</f>
        <v>30929</v>
      </c>
      <c r="W30" s="23"/>
      <c r="X30" s="143"/>
    </row>
    <row r="31" spans="2:24" ht="14.25" thickBot="1">
      <c r="B31" s="1091">
        <v>0</v>
      </c>
      <c r="C31" s="1132"/>
      <c r="D31" s="1093"/>
      <c r="E31" s="1040">
        <v>0</v>
      </c>
      <c r="F31" s="1032"/>
      <c r="G31" s="575">
        <v>0</v>
      </c>
      <c r="H31" s="576">
        <v>0</v>
      </c>
      <c r="I31" s="576">
        <v>0.09</v>
      </c>
      <c r="J31" s="576">
        <v>0</v>
      </c>
      <c r="K31" s="577">
        <v>0</v>
      </c>
      <c r="N31" s="1051"/>
      <c r="O31" s="44" t="s">
        <v>57</v>
      </c>
      <c r="P31" s="555">
        <f>INT((P30+P32)/2)</f>
        <v>30366</v>
      </c>
      <c r="Q31" s="1069"/>
      <c r="R31" s="80" t="s">
        <v>57</v>
      </c>
      <c r="S31" s="161">
        <f>INT((S30+S32)/2)</f>
        <v>41644</v>
      </c>
      <c r="T31" s="1433"/>
      <c r="U31" s="1409"/>
      <c r="W31" s="23"/>
      <c r="X31" s="143"/>
    </row>
    <row r="32" spans="2:24" ht="14.25" thickBot="1">
      <c r="B32" s="1088" t="s">
        <v>644</v>
      </c>
      <c r="C32" s="1089"/>
      <c r="D32" s="1090"/>
      <c r="E32" s="984" t="s">
        <v>551</v>
      </c>
      <c r="F32" s="976"/>
      <c r="N32" s="989"/>
      <c r="O32" s="15" t="s">
        <v>58</v>
      </c>
      <c r="P32" s="556">
        <f>MIN(INT(($T$4*O24)*(1+$B$33+$E$33+$B$51)*$D$25*$N$5),ReadMe!$M$94)</f>
        <v>34704</v>
      </c>
      <c r="Q32" s="1070"/>
      <c r="R32" s="87" t="s">
        <v>58</v>
      </c>
      <c r="S32" s="162">
        <f>MIN(INT(P32*$F$41),ReadMe!$M$94)</f>
        <v>52056</v>
      </c>
      <c r="T32" s="1433"/>
      <c r="U32" s="1409"/>
      <c r="W32" s="23"/>
      <c r="X32" s="143"/>
    </row>
    <row r="33" spans="2:24" ht="13.5" customHeight="1" thickBot="1">
      <c r="B33" s="1091">
        <v>0</v>
      </c>
      <c r="C33" s="1092"/>
      <c r="D33" s="1093"/>
      <c r="E33" s="1040">
        <v>0</v>
      </c>
      <c r="F33" s="1032"/>
      <c r="N33" s="1205" t="s">
        <v>92</v>
      </c>
      <c r="O33" s="1254"/>
      <c r="P33" s="1254"/>
      <c r="Q33" s="1254"/>
      <c r="R33" s="1254"/>
      <c r="S33" s="1530">
        <f>(U30*U24*$T$10+P25*60+IF($A$14="true",$S$55,0))*$G$46</f>
        <v>3868158.6333333333</v>
      </c>
      <c r="T33" s="1298"/>
      <c r="U33" s="1299"/>
      <c r="W33" s="1310">
        <f>INT(S33-U30*$P$69)+$O$71*$S$69*$G$46</f>
        <v>4973480</v>
      </c>
      <c r="X33" s="1358"/>
    </row>
    <row r="34" ht="14.25" thickBot="1"/>
    <row r="35" spans="2:24" ht="14.25" thickBot="1">
      <c r="B35" s="1047" t="s">
        <v>1120</v>
      </c>
      <c r="C35" s="1048"/>
      <c r="D35" s="1048"/>
      <c r="E35" s="535" t="s">
        <v>56</v>
      </c>
      <c r="F35" s="19" t="s">
        <v>58</v>
      </c>
      <c r="G35" s="536" t="s">
        <v>750</v>
      </c>
      <c r="I35" s="1041" t="s">
        <v>218</v>
      </c>
      <c r="J35" s="1042"/>
      <c r="K35" s="1043"/>
      <c r="N35" s="977" t="s">
        <v>454</v>
      </c>
      <c r="O35" s="978"/>
      <c r="P35" s="978"/>
      <c r="Q35" s="978"/>
      <c r="R35" s="978"/>
      <c r="S35" s="978"/>
      <c r="T35" s="978"/>
      <c r="U35" s="979"/>
      <c r="V35" s="99"/>
      <c r="W35" s="204"/>
      <c r="X35" s="204"/>
    </row>
    <row r="36" spans="2:22" ht="14.25" thickBot="1">
      <c r="B36" s="1133" t="s">
        <v>1122</v>
      </c>
      <c r="C36" s="1134"/>
      <c r="D36" s="1135"/>
      <c r="E36" s="36">
        <v>1.2</v>
      </c>
      <c r="F36" s="539">
        <v>1.5</v>
      </c>
      <c r="G36" s="260">
        <v>0.05</v>
      </c>
      <c r="I36" s="1041" t="s">
        <v>220</v>
      </c>
      <c r="J36" s="1053"/>
      <c r="K36" s="1054"/>
      <c r="N36" s="152" t="s">
        <v>293</v>
      </c>
      <c r="O36" s="153">
        <f>D8</f>
        <v>30</v>
      </c>
      <c r="P36" s="152" t="s">
        <v>104</v>
      </c>
      <c r="Q36" s="647">
        <f>(230+2*O36)/100</f>
        <v>2.9</v>
      </c>
      <c r="R36" s="220" t="s">
        <v>483</v>
      </c>
      <c r="S36" s="221">
        <v>1</v>
      </c>
      <c r="T36" s="511" t="s">
        <v>940</v>
      </c>
      <c r="U36" s="512">
        <v>32</v>
      </c>
      <c r="V36" s="22"/>
    </row>
    <row r="37" spans="2:25" ht="14.25" thickBot="1">
      <c r="B37" s="1051" t="s">
        <v>1117</v>
      </c>
      <c r="C37" s="1052"/>
      <c r="D37" s="548">
        <v>0</v>
      </c>
      <c r="E37" s="538"/>
      <c r="F37" s="537">
        <f>D37/100</f>
        <v>0</v>
      </c>
      <c r="G37" s="543">
        <f>IF(D37=0,0,(5+ROUNDUP(D37/2,0))/100)</f>
        <v>0</v>
      </c>
      <c r="I37" s="871" t="s">
        <v>217</v>
      </c>
      <c r="J37" s="224"/>
      <c r="K37" s="247">
        <v>0</v>
      </c>
      <c r="N37" s="1208" t="s">
        <v>303</v>
      </c>
      <c r="O37" s="139" t="s">
        <v>56</v>
      </c>
      <c r="P37" s="149">
        <f>MIN(INT(P43*1.5),ReadMe!$M$94)</f>
        <v>39042</v>
      </c>
      <c r="Q37" s="1528" t="s">
        <v>303</v>
      </c>
      <c r="R37" s="88" t="s">
        <v>56</v>
      </c>
      <c r="S37" s="160">
        <f>MIN(INT(P37*$E$41),ReadMe!$M$94)</f>
        <v>46850</v>
      </c>
      <c r="T37" s="1518" t="s">
        <v>303</v>
      </c>
      <c r="U37" s="1408">
        <f>INT(P38*(1-$G$41)+S38*$G$41)</f>
        <v>46394</v>
      </c>
      <c r="W37" s="58"/>
      <c r="X37" s="58"/>
      <c r="Y37" s="58"/>
    </row>
    <row r="38" spans="2:25" ht="14.25" thickBot="1">
      <c r="B38" s="1051" t="s">
        <v>1118</v>
      </c>
      <c r="C38" s="1052"/>
      <c r="D38" s="548">
        <v>0</v>
      </c>
      <c r="E38" s="538">
        <f>D38/100</f>
        <v>0</v>
      </c>
      <c r="F38" s="537"/>
      <c r="G38" s="543">
        <f>IF(D38=0,0,(5+ROUNDUP(D38/2,0))/100)</f>
        <v>0</v>
      </c>
      <c r="N38" s="1209"/>
      <c r="O38" s="44" t="s">
        <v>57</v>
      </c>
      <c r="P38" s="63">
        <f>MIN(INT(P44*1.5),ReadMe!$M$94)</f>
        <v>45549</v>
      </c>
      <c r="Q38" s="1529"/>
      <c r="R38" s="80" t="s">
        <v>57</v>
      </c>
      <c r="S38" s="161">
        <f>INT((S37+S39)/2)</f>
        <v>62467</v>
      </c>
      <c r="T38" s="1329"/>
      <c r="U38" s="1409"/>
      <c r="W38" s="58"/>
      <c r="X38" s="58"/>
      <c r="Y38" s="58"/>
    </row>
    <row r="39" spans="1:25" ht="14.25" thickBot="1">
      <c r="A39" s="421" t="b">
        <v>0</v>
      </c>
      <c r="B39" s="1051" t="s">
        <v>1119</v>
      </c>
      <c r="C39" s="1052"/>
      <c r="D39" s="544"/>
      <c r="E39" s="538"/>
      <c r="F39" s="537">
        <f>IF(H39="true",0.15,0)</f>
        <v>0</v>
      </c>
      <c r="G39" s="543">
        <f>IF(H39="true",0.1,0)</f>
        <v>0</v>
      </c>
      <c r="H39" s="421" t="str">
        <f>IF(A39=TRUE,"TRUE",IF(D39=1,"TRUE","FLASE"))</f>
        <v>FLASE</v>
      </c>
      <c r="I39" s="1058" t="s">
        <v>1163</v>
      </c>
      <c r="J39" s="1059"/>
      <c r="K39" s="896"/>
      <c r="L39" s="421" t="b">
        <v>0</v>
      </c>
      <c r="M39" s="514" t="str">
        <f>IF(L39=TRUE,"TRUE",IF(K39=1,"TRUE","FLASE"))</f>
        <v>FLASE</v>
      </c>
      <c r="N39" s="1210"/>
      <c r="O39" s="15" t="s">
        <v>58</v>
      </c>
      <c r="P39" s="150">
        <f>MIN(INT(P45*1.5),ReadMe!$M$94)</f>
        <v>52056</v>
      </c>
      <c r="Q39" s="760" t="s">
        <v>324</v>
      </c>
      <c r="R39" s="268" t="s">
        <v>58</v>
      </c>
      <c r="S39" s="270">
        <f>MIN(INT(P39*$F$41),ReadMe!$M$94)</f>
        <v>78084</v>
      </c>
      <c r="T39" s="761" t="s">
        <v>140</v>
      </c>
      <c r="U39" s="1495"/>
      <c r="W39" s="1165" t="s">
        <v>747</v>
      </c>
      <c r="X39" s="1166"/>
      <c r="Y39" s="1167"/>
    </row>
    <row r="40" spans="2:25" ht="14.25" thickBot="1">
      <c r="B40" s="1055" t="s">
        <v>1121</v>
      </c>
      <c r="C40" s="1056"/>
      <c r="D40" s="1057"/>
      <c r="E40" s="545">
        <v>0</v>
      </c>
      <c r="F40" s="546">
        <v>0</v>
      </c>
      <c r="G40" s="547">
        <v>0</v>
      </c>
      <c r="I40" s="637" t="s">
        <v>787</v>
      </c>
      <c r="J40" s="893"/>
      <c r="K40" s="894">
        <v>0</v>
      </c>
      <c r="N40" s="988" t="s">
        <v>102</v>
      </c>
      <c r="O40" s="85" t="s">
        <v>56</v>
      </c>
      <c r="P40" s="188">
        <f>P37*5</f>
        <v>195210</v>
      </c>
      <c r="Q40" s="1339"/>
      <c r="R40" s="1368"/>
      <c r="S40" s="1519">
        <f>(S46-IF($A$14="true",$S$55,0))*1.5+IF($A$14="true",$S$55,0)</f>
        <v>9154984</v>
      </c>
      <c r="T40" s="1520"/>
      <c r="U40" s="1521"/>
      <c r="W40" s="1531">
        <f>INT(S40-U37*$P$69)+$Q$71*$S$69*$G$46</f>
        <v>10812966</v>
      </c>
      <c r="X40" s="1121"/>
      <c r="Y40" s="1122"/>
    </row>
    <row r="41" spans="2:25" ht="14.25" thickBot="1">
      <c r="B41" s="1044" t="s">
        <v>1123</v>
      </c>
      <c r="C41" s="1045"/>
      <c r="D41" s="1046"/>
      <c r="E41" s="540">
        <f>E36+MAX(E38,E39)+E40</f>
        <v>1.2</v>
      </c>
      <c r="F41" s="541">
        <f>F36+MAX(F37,F39)+F40</f>
        <v>1.5</v>
      </c>
      <c r="G41" s="542">
        <f>G36+MAX(G37,G38,G39)+G40</f>
        <v>0.05</v>
      </c>
      <c r="I41" s="1060" t="s">
        <v>530</v>
      </c>
      <c r="J41" s="1061"/>
      <c r="K41" s="895">
        <f>IF(M39="true",IF(K40&gt;0,10+ROUNDUP(K40/3,0),11)/100,0)</f>
        <v>0</v>
      </c>
      <c r="L41" s="342"/>
      <c r="M41" s="342"/>
      <c r="N41" s="1051"/>
      <c r="O41" s="179" t="s">
        <v>140</v>
      </c>
      <c r="P41" s="705">
        <f>U37*5</f>
        <v>231970</v>
      </c>
      <c r="Q41" s="595" t="s">
        <v>67</v>
      </c>
      <c r="R41" s="596"/>
      <c r="S41" s="1522"/>
      <c r="T41" s="1523"/>
      <c r="U41" s="1524"/>
      <c r="W41" s="1532"/>
      <c r="X41" s="1123"/>
      <c r="Y41" s="1124"/>
    </row>
    <row r="42" spans="2:25" ht="14.25" thickBot="1">
      <c r="B42" s="1136" t="s">
        <v>135</v>
      </c>
      <c r="C42" s="1137"/>
      <c r="D42" s="1138"/>
      <c r="E42" s="1011">
        <f>(($E$41+$F$41)/2-1)*$G$41+1</f>
        <v>1.0175</v>
      </c>
      <c r="F42" s="1012"/>
      <c r="G42" s="1005"/>
      <c r="N42" s="989"/>
      <c r="O42" s="95" t="s">
        <v>58</v>
      </c>
      <c r="P42" s="190">
        <f>S39*5</f>
        <v>390420</v>
      </c>
      <c r="Q42" s="1106" t="s">
        <v>90</v>
      </c>
      <c r="R42" s="1107"/>
      <c r="S42" s="1525"/>
      <c r="T42" s="1526"/>
      <c r="U42" s="1527"/>
      <c r="W42" s="1533"/>
      <c r="X42" s="1125"/>
      <c r="Y42" s="1126"/>
    </row>
    <row r="43" spans="9:25" ht="14.25" thickBot="1">
      <c r="I43" s="1075" t="s">
        <v>1188</v>
      </c>
      <c r="J43" s="1076"/>
      <c r="K43" s="1077"/>
      <c r="N43" s="988" t="s">
        <v>131</v>
      </c>
      <c r="O43" s="77" t="s">
        <v>56</v>
      </c>
      <c r="P43" s="554">
        <f>MIN(INT(($R$4*Q36)*(1+$B$33+$E$33+$B$51)*$D$25*$N$5),ReadMe!$M$94)</f>
        <v>26028</v>
      </c>
      <c r="Q43" s="975" t="s">
        <v>406</v>
      </c>
      <c r="R43" s="194" t="s">
        <v>56</v>
      </c>
      <c r="S43" s="160">
        <f>MIN(INT(P43*$E$41),ReadMe!$M$94)</f>
        <v>31233</v>
      </c>
      <c r="T43" s="1432" t="s">
        <v>127</v>
      </c>
      <c r="U43" s="1408">
        <f>INT(P44*(1-$G$41)+S44*$G$41)</f>
        <v>30929</v>
      </c>
      <c r="W43" s="23"/>
      <c r="X43" s="22"/>
      <c r="Y43" s="143"/>
    </row>
    <row r="44" spans="2:25" ht="13.5">
      <c r="B44" s="1049" t="s">
        <v>416</v>
      </c>
      <c r="C44" s="1050"/>
      <c r="D44" s="566">
        <v>125</v>
      </c>
      <c r="E44" s="1147" t="s">
        <v>417</v>
      </c>
      <c r="F44" s="1148"/>
      <c r="G44" s="26">
        <f>IF(D2&gt;D44,0,$D$44-$D$2)</f>
        <v>0</v>
      </c>
      <c r="I44" s="439" t="s">
        <v>1189</v>
      </c>
      <c r="J44" s="572"/>
      <c r="K44" s="223">
        <v>0</v>
      </c>
      <c r="L44" s="342"/>
      <c r="M44" s="342"/>
      <c r="N44" s="1051"/>
      <c r="O44" s="44" t="s">
        <v>57</v>
      </c>
      <c r="P44" s="555">
        <f>INT((P43+P45)/2)</f>
        <v>30366</v>
      </c>
      <c r="Q44" s="1069"/>
      <c r="R44" s="80" t="s">
        <v>57</v>
      </c>
      <c r="S44" s="161">
        <f>INT((S43+S45)/2)</f>
        <v>41644</v>
      </c>
      <c r="T44" s="1433"/>
      <c r="U44" s="1409"/>
      <c r="W44" s="23"/>
      <c r="X44" s="22"/>
      <c r="Y44" s="143"/>
    </row>
    <row r="45" spans="2:25" ht="14.25" thickBot="1">
      <c r="B45" s="1006" t="s">
        <v>450</v>
      </c>
      <c r="C45" s="1007"/>
      <c r="D45" s="9">
        <v>12</v>
      </c>
      <c r="E45" s="1006" t="s">
        <v>452</v>
      </c>
      <c r="F45" s="1007"/>
      <c r="G45" s="665">
        <f>IF(G44&gt;0,"-",D45)</f>
        <v>12</v>
      </c>
      <c r="I45" s="440" t="s">
        <v>1190</v>
      </c>
      <c r="J45" s="573"/>
      <c r="K45" s="441">
        <f>IF(K44&gt;0,(K44+10)/100,0)</f>
        <v>0</v>
      </c>
      <c r="N45" s="989"/>
      <c r="O45" s="15" t="s">
        <v>58</v>
      </c>
      <c r="P45" s="556">
        <f>MIN(INT(($T$4*Q36)*(1+$B$33+$E$33+$B$51)*$D$25*$N$5),ReadMe!$M$94)</f>
        <v>34704</v>
      </c>
      <c r="Q45" s="1070"/>
      <c r="R45" s="87" t="s">
        <v>58</v>
      </c>
      <c r="S45" s="162">
        <f>MIN(INT(P45*$F$41),ReadMe!$M$94)</f>
        <v>52056</v>
      </c>
      <c r="T45" s="1433"/>
      <c r="U45" s="1409"/>
      <c r="W45" s="141"/>
      <c r="X45" s="58"/>
      <c r="Y45" s="144"/>
    </row>
    <row r="46" spans="2:25" ht="14.25" thickBot="1">
      <c r="B46" s="997" t="s">
        <v>415</v>
      </c>
      <c r="C46" s="998"/>
      <c r="D46" s="9">
        <v>0</v>
      </c>
      <c r="E46" s="1006" t="s">
        <v>451</v>
      </c>
      <c r="F46" s="1007"/>
      <c r="G46" s="543">
        <f>MAX((MIN(100+SQRT($K$28)-SQRT($D$45),100)-5*G44)/100,0)</f>
        <v>1</v>
      </c>
      <c r="N46" s="988" t="s">
        <v>102</v>
      </c>
      <c r="O46" s="85" t="s">
        <v>56</v>
      </c>
      <c r="P46" s="188">
        <f>P43*5</f>
        <v>130140</v>
      </c>
      <c r="Q46" s="1339"/>
      <c r="R46" s="1368"/>
      <c r="S46" s="1519">
        <f>(P47*U36*$T$10+IF($A$14="true",$S$55,0))*$G$46</f>
        <v>6103322.666666667</v>
      </c>
      <c r="T46" s="1520"/>
      <c r="U46" s="1521"/>
      <c r="W46" s="1531">
        <f>INT(S46-U43*$P$69)+$O$71*$S$69*$G$46</f>
        <v>7208644</v>
      </c>
      <c r="X46" s="1121"/>
      <c r="Y46" s="1122"/>
    </row>
    <row r="47" spans="2:25" ht="14.25" thickBot="1">
      <c r="B47" s="1008" t="s">
        <v>642</v>
      </c>
      <c r="C47" s="1009"/>
      <c r="D47" s="567">
        <v>0.25</v>
      </c>
      <c r="E47" s="1145" t="s">
        <v>643</v>
      </c>
      <c r="F47" s="1146"/>
      <c r="G47" s="29">
        <f>1-(D47*(1-K45))</f>
        <v>0.75</v>
      </c>
      <c r="I47" s="1003" t="s">
        <v>1110</v>
      </c>
      <c r="J47" s="1004"/>
      <c r="K47" s="996"/>
      <c r="L47" s="342"/>
      <c r="M47" s="168"/>
      <c r="N47" s="1051"/>
      <c r="O47" s="179" t="s">
        <v>140</v>
      </c>
      <c r="P47" s="705">
        <f>U43*5</f>
        <v>154645</v>
      </c>
      <c r="Q47" s="595" t="s">
        <v>67</v>
      </c>
      <c r="R47" s="596"/>
      <c r="S47" s="1522"/>
      <c r="T47" s="1523"/>
      <c r="U47" s="1524"/>
      <c r="W47" s="1532"/>
      <c r="X47" s="1123"/>
      <c r="Y47" s="1124"/>
    </row>
    <row r="48" spans="4:25" ht="14.25" thickBot="1">
      <c r="D48" s="421">
        <f>$D$46*(1-($K$45+$B$31))</f>
        <v>0</v>
      </c>
      <c r="I48" s="1083" t="s">
        <v>652</v>
      </c>
      <c r="J48" s="1084"/>
      <c r="K48" s="493"/>
      <c r="L48" s="514" t="b">
        <v>0</v>
      </c>
      <c r="M48" s="514" t="str">
        <f>IF(L48=TRUE,"TRUE",IF(K48=1,"TRUE","FLASE"))</f>
        <v>FLASE</v>
      </c>
      <c r="N48" s="989"/>
      <c r="O48" s="95" t="s">
        <v>58</v>
      </c>
      <c r="P48" s="190">
        <f>S45*5</f>
        <v>260280</v>
      </c>
      <c r="Q48" s="1106" t="s">
        <v>91</v>
      </c>
      <c r="R48" s="1107"/>
      <c r="S48" s="1525"/>
      <c r="T48" s="1526"/>
      <c r="U48" s="1527"/>
      <c r="W48" s="1533"/>
      <c r="X48" s="1125"/>
      <c r="Y48" s="1126"/>
    </row>
    <row r="49" spans="2:25" ht="14.25" thickBot="1">
      <c r="B49" s="1078" t="s">
        <v>749</v>
      </c>
      <c r="C49" s="1079"/>
      <c r="D49" s="1080"/>
      <c r="I49" s="994" t="s">
        <v>653</v>
      </c>
      <c r="J49" s="995"/>
      <c r="K49" s="494"/>
      <c r="L49" s="514" t="b">
        <v>0</v>
      </c>
      <c r="M49" s="514" t="str">
        <f>IF(L49=TRUE,"TRUE",IF(K49=1,"TRUE","FLASE"))</f>
        <v>FLASE</v>
      </c>
      <c r="W49" s="62"/>
      <c r="X49" s="62"/>
      <c r="Y49" s="62"/>
    </row>
    <row r="50" spans="2:25" ht="14.25" thickBot="1">
      <c r="B50" s="999" t="s">
        <v>551</v>
      </c>
      <c r="C50" s="1000"/>
      <c r="D50" s="1001"/>
      <c r="I50" s="1002" t="s">
        <v>530</v>
      </c>
      <c r="J50" s="993"/>
      <c r="K50" s="225">
        <f>IF(M48="TRUE",1.04,IF(M49="TRUE",1.02,1))</f>
        <v>1</v>
      </c>
      <c r="L50" s="352"/>
      <c r="M50" s="352"/>
      <c r="N50" s="977" t="s">
        <v>93</v>
      </c>
      <c r="O50" s="978"/>
      <c r="P50" s="978"/>
      <c r="Q50" s="978"/>
      <c r="R50" s="978"/>
      <c r="S50" s="978"/>
      <c r="T50" s="978"/>
      <c r="U50" s="979"/>
      <c r="W50" s="58"/>
      <c r="X50" s="60"/>
      <c r="Y50" s="60"/>
    </row>
    <row r="51" spans="2:25" ht="14.25" thickBot="1">
      <c r="B51" s="1142">
        <v>0</v>
      </c>
      <c r="C51" s="1143"/>
      <c r="D51" s="1144"/>
      <c r="N51" s="147" t="s">
        <v>293</v>
      </c>
      <c r="O51" s="66">
        <v>10</v>
      </c>
      <c r="P51" s="147" t="s">
        <v>104</v>
      </c>
      <c r="Q51" s="650">
        <v>3</v>
      </c>
      <c r="R51" s="1538" t="s">
        <v>199</v>
      </c>
      <c r="S51" s="1541"/>
      <c r="T51" s="243">
        <v>98</v>
      </c>
      <c r="U51" s="822" t="s">
        <v>762</v>
      </c>
      <c r="W51" s="58"/>
      <c r="X51" s="60"/>
      <c r="Y51" s="60"/>
    </row>
    <row r="52" spans="14:25" ht="14.25" thickBot="1">
      <c r="N52" s="988" t="s">
        <v>131</v>
      </c>
      <c r="O52" s="77" t="s">
        <v>56</v>
      </c>
      <c r="P52" s="554">
        <f>MIN(INT(($R$4*Q51)*(1+$B$33+$E$33+$B$51)*$D$25),ReadMe!$M$94)</f>
        <v>26925</v>
      </c>
      <c r="Q52" s="975" t="s">
        <v>406</v>
      </c>
      <c r="R52" s="194" t="s">
        <v>56</v>
      </c>
      <c r="S52" s="160">
        <f>MIN(INT(P52*$E$41),ReadMe!$M$94)</f>
        <v>32310</v>
      </c>
      <c r="T52" s="1432" t="s">
        <v>127</v>
      </c>
      <c r="U52" s="1408">
        <f>INT(P53*(1-$G$41)+S53*$G$41)</f>
        <v>31996</v>
      </c>
      <c r="W52" s="58"/>
      <c r="X52" s="328"/>
      <c r="Y52" s="60"/>
    </row>
    <row r="53" spans="2:25" ht="14.25" thickBot="1">
      <c r="B53" s="1023" t="s">
        <v>64</v>
      </c>
      <c r="C53" s="1024"/>
      <c r="D53" s="1024"/>
      <c r="E53" s="1024"/>
      <c r="F53" s="1024"/>
      <c r="G53" s="1024"/>
      <c r="H53" s="1024"/>
      <c r="I53" s="1024"/>
      <c r="J53" s="1024"/>
      <c r="K53" s="1024"/>
      <c r="L53" s="1025"/>
      <c r="N53" s="1051"/>
      <c r="O53" s="44" t="s">
        <v>57</v>
      </c>
      <c r="P53" s="555">
        <f>INT((P52+P54)/2)</f>
        <v>31413</v>
      </c>
      <c r="Q53" s="1069"/>
      <c r="R53" s="80" t="s">
        <v>57</v>
      </c>
      <c r="S53" s="161">
        <f>INT((S52+S54)/2)</f>
        <v>43080</v>
      </c>
      <c r="T53" s="1433"/>
      <c r="U53" s="1409"/>
      <c r="W53" s="62"/>
      <c r="X53" s="62"/>
      <c r="Y53" s="62"/>
    </row>
    <row r="54" spans="2:25" ht="14.25" thickBot="1">
      <c r="B54" s="1018" t="s">
        <v>312</v>
      </c>
      <c r="C54" s="1019"/>
      <c r="D54" s="1020"/>
      <c r="E54" s="1020"/>
      <c r="F54" s="1020"/>
      <c r="G54" s="1020"/>
      <c r="H54" s="1020"/>
      <c r="I54" s="1020"/>
      <c r="J54" s="1020"/>
      <c r="K54" s="1021"/>
      <c r="L54" s="1016"/>
      <c r="N54" s="989"/>
      <c r="O54" s="15" t="s">
        <v>58</v>
      </c>
      <c r="P54" s="556">
        <f>MIN(INT(($T$4*Q51)*(1+$B$33+$E$33+$B$51)*$D$25),ReadMe!$M$94)</f>
        <v>35901</v>
      </c>
      <c r="Q54" s="1070"/>
      <c r="R54" s="87" t="s">
        <v>58</v>
      </c>
      <c r="S54" s="162">
        <f>MIN(INT(P54*$F$41),ReadMe!$M$94)</f>
        <v>53851</v>
      </c>
      <c r="T54" s="1433"/>
      <c r="U54" s="1409"/>
      <c r="W54" s="58"/>
      <c r="X54" s="60"/>
      <c r="Y54" s="60"/>
    </row>
    <row r="55" spans="2:25" ht="14.25" thickBot="1">
      <c r="B55" s="1017" t="s">
        <v>313</v>
      </c>
      <c r="C55" s="1015"/>
      <c r="D55" s="1013"/>
      <c r="E55" s="1013"/>
      <c r="F55" s="1013"/>
      <c r="G55" s="1013"/>
      <c r="H55" s="1013"/>
      <c r="I55" s="1013"/>
      <c r="J55" s="1013"/>
      <c r="K55" s="1014"/>
      <c r="L55" s="1010"/>
      <c r="N55" s="1205" t="s">
        <v>94</v>
      </c>
      <c r="O55" s="1254"/>
      <c r="P55" s="1254"/>
      <c r="Q55" s="1254"/>
      <c r="R55" s="1254"/>
      <c r="S55" s="1530">
        <f>U52*T51*$T$10*$G$46</f>
        <v>3867249.8666666667</v>
      </c>
      <c r="T55" s="1298"/>
      <c r="U55" s="1299"/>
      <c r="W55" s="58"/>
      <c r="X55" s="60"/>
      <c r="Y55" s="60"/>
    </row>
    <row r="56" spans="2:25" ht="14.25" thickBot="1">
      <c r="B56" s="1017" t="s">
        <v>763</v>
      </c>
      <c r="C56" s="1015"/>
      <c r="D56" s="1013"/>
      <c r="E56" s="1013"/>
      <c r="F56" s="1013"/>
      <c r="G56" s="1013"/>
      <c r="H56" s="1013"/>
      <c r="I56" s="1013"/>
      <c r="J56" s="1013"/>
      <c r="K56" s="1014"/>
      <c r="L56" s="1010"/>
      <c r="W56" s="58"/>
      <c r="X56" s="328"/>
      <c r="Y56" s="60"/>
    </row>
    <row r="57" spans="2:25" ht="14.25" thickBot="1">
      <c r="B57" s="1017" t="s">
        <v>764</v>
      </c>
      <c r="C57" s="1015"/>
      <c r="D57" s="1013"/>
      <c r="E57" s="1013"/>
      <c r="F57" s="1013"/>
      <c r="G57" s="1013"/>
      <c r="H57" s="1013"/>
      <c r="I57" s="1013"/>
      <c r="J57" s="1013"/>
      <c r="K57" s="1014"/>
      <c r="L57" s="1010"/>
      <c r="N57" s="977" t="s">
        <v>305</v>
      </c>
      <c r="O57" s="978"/>
      <c r="P57" s="978"/>
      <c r="Q57" s="978"/>
      <c r="R57" s="978"/>
      <c r="S57" s="978"/>
      <c r="T57" s="978"/>
      <c r="U57" s="979"/>
      <c r="W57" s="62"/>
      <c r="X57" s="62"/>
      <c r="Y57" s="62"/>
    </row>
    <row r="58" spans="2:25" ht="14.25" thickBot="1">
      <c r="B58" s="1017" t="s">
        <v>363</v>
      </c>
      <c r="C58" s="1015"/>
      <c r="D58" s="1013"/>
      <c r="E58" s="1013"/>
      <c r="F58" s="1013"/>
      <c r="G58" s="1013"/>
      <c r="H58" s="1013"/>
      <c r="I58" s="1013"/>
      <c r="J58" s="1013"/>
      <c r="K58" s="1014"/>
      <c r="L58" s="1010"/>
      <c r="N58" s="152" t="s">
        <v>293</v>
      </c>
      <c r="O58" s="153">
        <f>D7</f>
        <v>30</v>
      </c>
      <c r="P58" s="152" t="s">
        <v>104</v>
      </c>
      <c r="Q58" s="655">
        <f>(900+20*O58)/100</f>
        <v>15</v>
      </c>
      <c r="R58" s="1542" t="s">
        <v>446</v>
      </c>
      <c r="S58" s="1543"/>
      <c r="T58" s="752">
        <f>60-2*INT(O58/2)</f>
        <v>30</v>
      </c>
      <c r="U58" s="219"/>
      <c r="W58" s="58"/>
      <c r="X58" s="58"/>
      <c r="Y58" s="58"/>
    </row>
    <row r="59" spans="2:25" ht="14.25" thickBot="1">
      <c r="B59" s="1029" t="s">
        <v>364</v>
      </c>
      <c r="C59" s="1030"/>
      <c r="D59" s="1031"/>
      <c r="E59" s="1031"/>
      <c r="F59" s="1031"/>
      <c r="G59" s="1031"/>
      <c r="H59" s="1031"/>
      <c r="I59" s="1031"/>
      <c r="J59" s="1031"/>
      <c r="K59" s="1026"/>
      <c r="L59" s="1022"/>
      <c r="N59" s="1068" t="s">
        <v>327</v>
      </c>
      <c r="O59" s="1036"/>
      <c r="P59" s="750">
        <f>(100+4*O58)/100</f>
        <v>2.2</v>
      </c>
      <c r="Q59" s="17" t="s">
        <v>908</v>
      </c>
      <c r="R59" s="84">
        <f>5+INT(O58/6)</f>
        <v>10</v>
      </c>
      <c r="S59" s="1068" t="s">
        <v>326</v>
      </c>
      <c r="T59" s="1036"/>
      <c r="U59" s="747">
        <f>INT(P4*P59*N5)</f>
        <v>23402</v>
      </c>
      <c r="W59" s="58"/>
      <c r="X59" s="58"/>
      <c r="Y59" s="58"/>
    </row>
    <row r="60" spans="14:21" ht="13.5">
      <c r="N60" s="1208" t="s">
        <v>303</v>
      </c>
      <c r="O60" s="139" t="s">
        <v>56</v>
      </c>
      <c r="P60" s="149">
        <f>MIN(INT(P63*1.5),ReadMe!$M$94)</f>
        <v>201942</v>
      </c>
      <c r="Q60" s="1528" t="s">
        <v>303</v>
      </c>
      <c r="R60" s="88" t="s">
        <v>56</v>
      </c>
      <c r="S60" s="160">
        <f>MIN(INT(P60*$E$41),ReadMe!$M$94)</f>
        <v>242330</v>
      </c>
      <c r="T60" s="1518" t="s">
        <v>303</v>
      </c>
      <c r="U60" s="1408">
        <f>INT(P61*(1-$G$41)+S61*$G$41)</f>
        <v>239974</v>
      </c>
    </row>
    <row r="61" spans="14:21" ht="13.5">
      <c r="N61" s="1209"/>
      <c r="O61" s="44" t="s">
        <v>57</v>
      </c>
      <c r="P61" s="63">
        <f>MIN(INT(P64*1.5),ReadMe!$M$94)</f>
        <v>235599</v>
      </c>
      <c r="Q61" s="1529"/>
      <c r="R61" s="80" t="s">
        <v>57</v>
      </c>
      <c r="S61" s="161">
        <f>INT((S60+S62)/2)</f>
        <v>323107</v>
      </c>
      <c r="T61" s="1329"/>
      <c r="U61" s="1409"/>
    </row>
    <row r="62" spans="14:21" ht="14.25" thickBot="1">
      <c r="N62" s="1210"/>
      <c r="O62" s="15" t="s">
        <v>58</v>
      </c>
      <c r="P62" s="150">
        <f>MIN(INT(P65*1.5),ReadMe!$M$94)</f>
        <v>269257</v>
      </c>
      <c r="Q62" s="183" t="s">
        <v>324</v>
      </c>
      <c r="R62" s="87" t="s">
        <v>58</v>
      </c>
      <c r="S62" s="162">
        <f>MIN(INT(P62*$F$41),ReadMe!$M$94)</f>
        <v>403885</v>
      </c>
      <c r="T62" s="184" t="s">
        <v>140</v>
      </c>
      <c r="U62" s="1409"/>
    </row>
    <row r="63" spans="14:21" ht="13.5">
      <c r="N63" s="988" t="s">
        <v>131</v>
      </c>
      <c r="O63" s="77" t="s">
        <v>56</v>
      </c>
      <c r="P63" s="554">
        <f>MIN(INT(($R$4*Q58)*(1+$B$33+$E$33+$B$51)*$D$25*$N$5),ReadMe!$M$94)</f>
        <v>134628</v>
      </c>
      <c r="Q63" s="975" t="s">
        <v>406</v>
      </c>
      <c r="R63" s="194" t="s">
        <v>56</v>
      </c>
      <c r="S63" s="160">
        <f>MIN(INT(P63*$E$41),ReadMe!$M$94)</f>
        <v>161553</v>
      </c>
      <c r="T63" s="1432" t="s">
        <v>127</v>
      </c>
      <c r="U63" s="1408">
        <f>INT(P64*(1-$G$41)+S64*$G$41)</f>
        <v>159982</v>
      </c>
    </row>
    <row r="64" spans="14:21" ht="13.5">
      <c r="N64" s="1051"/>
      <c r="O64" s="44" t="s">
        <v>57</v>
      </c>
      <c r="P64" s="555">
        <f>INT((P63+P65)/2)</f>
        <v>157066</v>
      </c>
      <c r="Q64" s="1069"/>
      <c r="R64" s="80" t="s">
        <v>57</v>
      </c>
      <c r="S64" s="161">
        <f>INT((S63+S65)/2)</f>
        <v>215405</v>
      </c>
      <c r="T64" s="1433"/>
      <c r="U64" s="1409"/>
    </row>
    <row r="65" spans="14:21" ht="14.25" thickBot="1">
      <c r="N65" s="989"/>
      <c r="O65" s="15" t="s">
        <v>58</v>
      </c>
      <c r="P65" s="556">
        <f>MIN(INT(($T$4*Q58)*(1+$B$33+$E$33+$B$51)*$D$25*$N$5),ReadMe!$M$94)</f>
        <v>179505</v>
      </c>
      <c r="Q65" s="1070"/>
      <c r="R65" s="87" t="s">
        <v>58</v>
      </c>
      <c r="S65" s="162">
        <f>MIN(INT(P65*$F$41),ReadMe!$M$94)</f>
        <v>269257</v>
      </c>
      <c r="T65" s="1433"/>
      <c r="U65" s="1409"/>
    </row>
    <row r="66" ht="14.25" thickBot="1"/>
    <row r="67" spans="14:19" ht="14.25" thickBot="1">
      <c r="N67" s="977" t="s">
        <v>328</v>
      </c>
      <c r="O67" s="978"/>
      <c r="P67" s="978"/>
      <c r="Q67" s="978"/>
      <c r="R67" s="978"/>
      <c r="S67" s="979"/>
    </row>
    <row r="68" spans="14:19" ht="14.25" thickBot="1">
      <c r="N68" s="310" t="s">
        <v>293</v>
      </c>
      <c r="O68" s="290">
        <f>D9</f>
        <v>30</v>
      </c>
      <c r="P68" s="259" t="s">
        <v>104</v>
      </c>
      <c r="Q68" s="428">
        <f>(250+5*O68)/100</f>
        <v>4</v>
      </c>
      <c r="R68" s="14" t="s">
        <v>545</v>
      </c>
      <c r="S68" s="16">
        <f>O68*5+10</f>
        <v>160</v>
      </c>
    </row>
    <row r="69" spans="14:19" ht="14.25" thickBot="1">
      <c r="N69" s="1205" t="s">
        <v>710</v>
      </c>
      <c r="O69" s="1315"/>
      <c r="P69" s="329">
        <f>60/S68</f>
        <v>0.375</v>
      </c>
      <c r="Q69" s="1318" t="s">
        <v>732</v>
      </c>
      <c r="R69" s="1319"/>
      <c r="S69" s="84">
        <v>20</v>
      </c>
    </row>
    <row r="70" spans="14:17" ht="13.5">
      <c r="N70" s="311" t="s">
        <v>704</v>
      </c>
      <c r="O70" s="4">
        <f>MIN(INT(($N$4*Q68)*(1+$B$33+$E$33+$B$51)*$D$25),ReadMe!$M$94)</f>
        <v>47868</v>
      </c>
      <c r="P70" s="311" t="s">
        <v>679</v>
      </c>
      <c r="Q70" s="4">
        <f>MIN(INT(O70*1.5),ReadMe!$M$94)</f>
        <v>71802</v>
      </c>
    </row>
    <row r="71" spans="14:17" ht="13.5">
      <c r="N71" s="7" t="s">
        <v>705</v>
      </c>
      <c r="O71" s="45">
        <f>INT((O70+O72)/2)</f>
        <v>55846</v>
      </c>
      <c r="P71" s="7" t="s">
        <v>680</v>
      </c>
      <c r="Q71" s="45">
        <f>MIN(INT(O71*1.5),ReadMe!$M$94)</f>
        <v>83769</v>
      </c>
    </row>
    <row r="72" spans="14:17" ht="14.25" thickBot="1">
      <c r="N72" s="14" t="s">
        <v>706</v>
      </c>
      <c r="O72" s="148">
        <f>MIN(INT(($P$4*Q68)*(1+$B$33+$E$33+$B$51)*$D$25),ReadMe!$M$94)</f>
        <v>63824</v>
      </c>
      <c r="P72" s="14" t="s">
        <v>681</v>
      </c>
      <c r="Q72" s="148">
        <f>MIN(INT(O72*1.5),ReadMe!$M$94)</f>
        <v>95736</v>
      </c>
    </row>
    <row r="73" ht="14.25" thickBot="1"/>
    <row r="74" spans="14:19" ht="14.25" thickBot="1">
      <c r="N74" s="1062" t="s">
        <v>1050</v>
      </c>
      <c r="O74" s="1063"/>
      <c r="P74" s="1213"/>
      <c r="Q74" s="1213"/>
      <c r="R74" s="1213"/>
      <c r="S74" s="1064"/>
    </row>
    <row r="75" spans="14:18" ht="14.25" thickBot="1">
      <c r="N75" s="490" t="s">
        <v>113</v>
      </c>
      <c r="O75" s="487">
        <v>0.75</v>
      </c>
      <c r="P75" s="1068" t="s">
        <v>713</v>
      </c>
      <c r="Q75" s="1036"/>
      <c r="R75" s="332" t="s">
        <v>1194</v>
      </c>
    </row>
    <row r="76" spans="14:19" ht="14.25" thickBot="1">
      <c r="N76" s="1205" t="s">
        <v>959</v>
      </c>
      <c r="O76" s="1206"/>
      <c r="P76" s="777">
        <v>1</v>
      </c>
      <c r="Q76" s="1320" t="s">
        <v>997</v>
      </c>
      <c r="R76" s="1321"/>
      <c r="S76" s="332">
        <v>1</v>
      </c>
    </row>
    <row r="77" spans="14:19" ht="13.5">
      <c r="N77" s="988" t="s">
        <v>131</v>
      </c>
      <c r="O77" s="77" t="s">
        <v>56</v>
      </c>
      <c r="P77" s="554">
        <f>MIN(INT(($R$4*P76)*(1+$B$33+$E$33+$B$51)*$D$25*IF(R75="火",$N$5,$O$5)),ReadMe!$M$94)</f>
        <v>8975</v>
      </c>
      <c r="Q77" s="975" t="s">
        <v>406</v>
      </c>
      <c r="R77" s="194" t="s">
        <v>56</v>
      </c>
      <c r="S77" s="160">
        <f>MIN(INT(P77*$E$41),ReadMe!$M$94)</f>
        <v>10770</v>
      </c>
    </row>
    <row r="78" spans="14:19" ht="13.5">
      <c r="N78" s="1051"/>
      <c r="O78" s="44" t="s">
        <v>57</v>
      </c>
      <c r="P78" s="555">
        <f>INT((P77+P79)/2)</f>
        <v>10471</v>
      </c>
      <c r="Q78" s="1069"/>
      <c r="R78" s="80" t="s">
        <v>57</v>
      </c>
      <c r="S78" s="161">
        <f>INT((S77+S79)/2)</f>
        <v>14360</v>
      </c>
    </row>
    <row r="79" spans="14:19" ht="14.25" thickBot="1">
      <c r="N79" s="989"/>
      <c r="O79" s="15" t="s">
        <v>58</v>
      </c>
      <c r="P79" s="556">
        <f>MIN(INT(($T$4*P76)*(1+$B$33+$E$33+$B$51)*$D$25*$N$5),ReadMe!$M$94)</f>
        <v>11967</v>
      </c>
      <c r="Q79" s="1070"/>
      <c r="R79" s="87" t="s">
        <v>58</v>
      </c>
      <c r="S79" s="162">
        <f>MIN(INT(P79*$F$41),ReadMe!$M$94)</f>
        <v>17950</v>
      </c>
    </row>
    <row r="80" spans="14:19" ht="14.25" thickBot="1">
      <c r="N80" s="1065" t="s">
        <v>127</v>
      </c>
      <c r="O80" s="1066"/>
      <c r="P80" s="1067"/>
      <c r="Q80" s="1065">
        <f>INT(P78*(1-$G$41)+S78*$G$41)</f>
        <v>10665</v>
      </c>
      <c r="R80" s="1066"/>
      <c r="S80" s="1067"/>
    </row>
    <row r="81" spans="14:19" ht="14.25" thickBot="1">
      <c r="N81" s="1065" t="s">
        <v>407</v>
      </c>
      <c r="O81" s="1066"/>
      <c r="P81" s="1067"/>
      <c r="Q81" s="1294">
        <f>Q80*S76</f>
        <v>10665</v>
      </c>
      <c r="R81" s="1295"/>
      <c r="S81" s="1296"/>
    </row>
  </sheetData>
  <sheetProtection/>
  <protectedRanges>
    <protectedRange sqref="D44:D45 D47" name="範囲1_1_1"/>
  </protectedRanges>
  <mergeCells count="156">
    <mergeCell ref="I41:J41"/>
    <mergeCell ref="W33:X33"/>
    <mergeCell ref="W28:X28"/>
    <mergeCell ref="W15:Z15"/>
    <mergeCell ref="W17:X17"/>
    <mergeCell ref="Y17:Z17"/>
    <mergeCell ref="I39:J39"/>
    <mergeCell ref="Y21:Z21"/>
    <mergeCell ref="N33:R33"/>
    <mergeCell ref="N18:N20"/>
    <mergeCell ref="N50:U50"/>
    <mergeCell ref="W29:X29"/>
    <mergeCell ref="W16:X16"/>
    <mergeCell ref="W20:X20"/>
    <mergeCell ref="S17:U17"/>
    <mergeCell ref="S33:U33"/>
    <mergeCell ref="U37:U39"/>
    <mergeCell ref="N35:U35"/>
    <mergeCell ref="N37:N39"/>
    <mergeCell ref="W21:X21"/>
    <mergeCell ref="Q69:R69"/>
    <mergeCell ref="N69:O69"/>
    <mergeCell ref="N67:S67"/>
    <mergeCell ref="N77:N79"/>
    <mergeCell ref="E32:F32"/>
    <mergeCell ref="U30:U32"/>
    <mergeCell ref="Q25:R25"/>
    <mergeCell ref="Q26:Q27"/>
    <mergeCell ref="N29:R29"/>
    <mergeCell ref="T26:T27"/>
    <mergeCell ref="S29:U29"/>
    <mergeCell ref="U26:U28"/>
    <mergeCell ref="N26:N28"/>
    <mergeCell ref="N25:O25"/>
    <mergeCell ref="B44:C44"/>
    <mergeCell ref="E44:F44"/>
    <mergeCell ref="B33:D33"/>
    <mergeCell ref="E33:F33"/>
    <mergeCell ref="E42:G42"/>
    <mergeCell ref="B41:D41"/>
    <mergeCell ref="B42:D42"/>
    <mergeCell ref="I43:K43"/>
    <mergeCell ref="R2:T2"/>
    <mergeCell ref="B29:K29"/>
    <mergeCell ref="B30:D30"/>
    <mergeCell ref="E30:F30"/>
    <mergeCell ref="N11:S11"/>
    <mergeCell ref="Q13:R13"/>
    <mergeCell ref="N23:S23"/>
    <mergeCell ref="B31:D31"/>
    <mergeCell ref="E31:F31"/>
    <mergeCell ref="B2:C2"/>
    <mergeCell ref="B26:C26"/>
    <mergeCell ref="B7:C7"/>
    <mergeCell ref="B56:L56"/>
    <mergeCell ref="B54:L54"/>
    <mergeCell ref="B55:L55"/>
    <mergeCell ref="E47:F47"/>
    <mergeCell ref="B49:D49"/>
    <mergeCell ref="I35:K35"/>
    <mergeCell ref="I36:K36"/>
    <mergeCell ref="B53:L53"/>
    <mergeCell ref="Q52:Q54"/>
    <mergeCell ref="S55:U55"/>
    <mergeCell ref="U60:U62"/>
    <mergeCell ref="S59:T59"/>
    <mergeCell ref="N60:N62"/>
    <mergeCell ref="Q60:Q61"/>
    <mergeCell ref="B59:L59"/>
    <mergeCell ref="B58:L58"/>
    <mergeCell ref="Q63:Q65"/>
    <mergeCell ref="N55:R55"/>
    <mergeCell ref="B57:L57"/>
    <mergeCell ref="N59:O59"/>
    <mergeCell ref="R58:S58"/>
    <mergeCell ref="B50:D50"/>
    <mergeCell ref="B47:C47"/>
    <mergeCell ref="I50:J50"/>
    <mergeCell ref="I49:J49"/>
    <mergeCell ref="I47:K47"/>
    <mergeCell ref="I48:J48"/>
    <mergeCell ref="B46:C46"/>
    <mergeCell ref="E46:F46"/>
    <mergeCell ref="B37:C37"/>
    <mergeCell ref="F1:P1"/>
    <mergeCell ref="B32:D32"/>
    <mergeCell ref="B39:C39"/>
    <mergeCell ref="B40:D40"/>
    <mergeCell ref="B38:C38"/>
    <mergeCell ref="N2:P2"/>
    <mergeCell ref="N21:R21"/>
    <mergeCell ref="N17:R17"/>
    <mergeCell ref="N14:N16"/>
    <mergeCell ref="Q14:Q15"/>
    <mergeCell ref="P12:Q12"/>
    <mergeCell ref="N13:O13"/>
    <mergeCell ref="N43:N45"/>
    <mergeCell ref="S24:T24"/>
    <mergeCell ref="R51:S51"/>
    <mergeCell ref="N81:P81"/>
    <mergeCell ref="Q81:S81"/>
    <mergeCell ref="N57:U57"/>
    <mergeCell ref="T60:T61"/>
    <mergeCell ref="N63:N65"/>
    <mergeCell ref="N76:O76"/>
    <mergeCell ref="Q76:R76"/>
    <mergeCell ref="N80:P80"/>
    <mergeCell ref="Q80:S80"/>
    <mergeCell ref="T52:T54"/>
    <mergeCell ref="U52:U54"/>
    <mergeCell ref="N52:N54"/>
    <mergeCell ref="U63:U65"/>
    <mergeCell ref="T63:T65"/>
    <mergeCell ref="Q77:Q79"/>
    <mergeCell ref="N74:S74"/>
    <mergeCell ref="P75:Q75"/>
    <mergeCell ref="B51:D51"/>
    <mergeCell ref="T30:T32"/>
    <mergeCell ref="Q48:R48"/>
    <mergeCell ref="Q43:Q45"/>
    <mergeCell ref="B45:C45"/>
    <mergeCell ref="E45:F45"/>
    <mergeCell ref="B35:D35"/>
    <mergeCell ref="B36:D36"/>
    <mergeCell ref="N46:N48"/>
    <mergeCell ref="Q46:R46"/>
    <mergeCell ref="N6:U6"/>
    <mergeCell ref="N8:O8"/>
    <mergeCell ref="N9:O9"/>
    <mergeCell ref="T7:U7"/>
    <mergeCell ref="N7:O7"/>
    <mergeCell ref="W46:Y48"/>
    <mergeCell ref="U43:U45"/>
    <mergeCell ref="T8:U9"/>
    <mergeCell ref="U18:U20"/>
    <mergeCell ref="S46:U48"/>
    <mergeCell ref="U14:U16"/>
    <mergeCell ref="T14:T15"/>
    <mergeCell ref="S12:T12"/>
    <mergeCell ref="P24:Q24"/>
    <mergeCell ref="T43:T45"/>
    <mergeCell ref="Q37:Q38"/>
    <mergeCell ref="Y16:Z16"/>
    <mergeCell ref="Y20:Z20"/>
    <mergeCell ref="Q18:Q20"/>
    <mergeCell ref="T18:T20"/>
    <mergeCell ref="S21:U21"/>
    <mergeCell ref="W39:Y39"/>
    <mergeCell ref="W40:Y42"/>
    <mergeCell ref="N40:N42"/>
    <mergeCell ref="Q42:R42"/>
    <mergeCell ref="N30:N32"/>
    <mergeCell ref="T37:T38"/>
    <mergeCell ref="S40:U42"/>
    <mergeCell ref="Q40:R40"/>
    <mergeCell ref="Q30:Q32"/>
  </mergeCells>
  <printOptions/>
  <pageMargins left="0.75" right="0.75" top="1" bottom="1" header="0.512" footer="0.512"/>
  <pageSetup horizontalDpi="300" verticalDpi="300" orientation="portrait" paperSize="9" r:id="rId2"/>
  <ignoredErrors>
    <ignoredError sqref="G27:J27" formulaRange="1"/>
  </ignoredError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DamagePerMinute</dc:title>
  <dc:subject/>
  <dc:creator>　</dc:creator>
  <cp:keywords/>
  <dc:description/>
  <cp:lastModifiedBy>t</cp:lastModifiedBy>
  <dcterms:created xsi:type="dcterms:W3CDTF">2008-03-11T22:19:47Z</dcterms:created>
  <dcterms:modified xsi:type="dcterms:W3CDTF">2011-01-11T18:31:54Z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