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3440" windowHeight="6525" tabRatio="730" firstSheet="6" activeTab="18"/>
  </bookViews>
  <sheets>
    <sheet name="Hero" sheetId="1" r:id="rId1"/>
    <sheet name="Paladin" sheetId="2" r:id="rId2"/>
    <sheet name="DarkKnight" sheetId="3" r:id="rId3"/>
    <sheet name="BowMaster" sheetId="4" r:id="rId4"/>
    <sheet name="XbowMaster" sheetId="5" r:id="rId5"/>
    <sheet name="Shadower" sheetId="6" r:id="rId6"/>
    <sheet name="NightLord" sheetId="7" r:id="rId7"/>
    <sheet name="DualBlade" sheetId="8" r:id="rId8"/>
    <sheet name="ArchMage(Fire&amp;Poison)" sheetId="9" r:id="rId9"/>
    <sheet name="ArchMage(Ice&amp;Thunder)" sheetId="10" r:id="rId10"/>
    <sheet name="Bishop" sheetId="11" r:id="rId11"/>
    <sheet name="Viper" sheetId="12" r:id="rId12"/>
    <sheet name="Captain" sheetId="13" r:id="rId13"/>
    <sheet name="Aｒan" sheetId="14" r:id="rId14"/>
    <sheet name="Evan" sheetId="15" r:id="rId15"/>
    <sheet name="BattleMage" sheetId="16" r:id="rId16"/>
    <sheet name="WildHunter" sheetId="17" r:id="rId17"/>
    <sheet name="Mechanic" sheetId="18" r:id="rId18"/>
    <sheet name="Sheet1" sheetId="19" r:id="rId19"/>
    <sheet name="ReadMe" sheetId="20" r:id="rId20"/>
  </sheets>
  <definedNames/>
  <calcPr fullCalcOnLoad="1"/>
</workbook>
</file>

<file path=xl/sharedStrings.xml><?xml version="1.0" encoding="utf-8"?>
<sst xmlns="http://schemas.openxmlformats.org/spreadsheetml/2006/main" count="5228" uniqueCount="1421">
  <si>
    <r>
      <t>　特に、メイジの「毒」「火」「雷」「氷」や戦士の「片手剣」「両手鈍器」等に注意してください。(炎＝×　火＝○</t>
    </r>
    <r>
      <rPr>
        <sz val="11"/>
        <rFont val="ＭＳ Ｐゴシック"/>
        <family val="3"/>
      </rPr>
      <t>)</t>
    </r>
  </si>
  <si>
    <t>速度5(やや早い)＝エクセキューショナーズ等片手剣全般　砕骨刀 等</t>
  </si>
  <si>
    <t>速度6(普通)＝グレイヴ(両手剣)　両手剣全般　片手斧全般　ジャッドバラアックス　ヘリオス等</t>
  </si>
  <si>
    <t>(MapleStory Ver.1.73時)</t>
  </si>
  <si>
    <r>
      <t>　20</t>
    </r>
    <r>
      <rPr>
        <sz val="11"/>
        <rFont val="ＭＳ Ｐゴシック"/>
        <family val="3"/>
      </rPr>
      <t>10</t>
    </r>
    <r>
      <rPr>
        <sz val="11"/>
        <rFont val="ＭＳ Ｐゴシック"/>
        <family val="3"/>
      </rPr>
      <t>/</t>
    </r>
    <r>
      <rPr>
        <sz val="11"/>
        <rFont val="ＭＳ Ｐゴシック"/>
        <family val="3"/>
      </rPr>
      <t>01</t>
    </r>
    <r>
      <rPr>
        <sz val="11"/>
        <rFont val="ＭＳ Ｐゴシック"/>
        <family val="3"/>
      </rPr>
      <t>/</t>
    </r>
    <r>
      <rPr>
        <sz val="11"/>
        <rFont val="ＭＳ Ｐゴシック"/>
        <family val="3"/>
      </rPr>
      <t>06</t>
    </r>
  </si>
  <si>
    <t>指輪</t>
  </si>
  <si>
    <t>フィニッシュ時</t>
  </si>
  <si>
    <t>ブレスト時</t>
  </si>
  <si>
    <t>最大時</t>
  </si>
  <si>
    <t>分間35回</t>
  </si>
  <si>
    <t>クロウカット</t>
  </si>
  <si>
    <t>チェーン+アッパー*2の</t>
  </si>
  <si>
    <t>ペット</t>
  </si>
  <si>
    <t>ペット</t>
  </si>
  <si>
    <t>ペット</t>
  </si>
  <si>
    <t>コンボシミュレータ</t>
  </si>
  <si>
    <t>コンボシミュレータについて</t>
  </si>
  <si>
    <t>セルW9:AE30をコンボシミュレータと称してます</t>
  </si>
  <si>
    <t>6つまでのスキルを自由に組み立て、そのコンボの分間ダメージを計算できます</t>
  </si>
  <si>
    <t>スキル番号はW17:AA30を参照してください</t>
  </si>
  <si>
    <t>ディレイより硬直が短い、同じスキルを2つ以上並べるとバグりますごめんなさい</t>
  </si>
  <si>
    <r>
      <t>　2010/04/1</t>
    </r>
    <r>
      <rPr>
        <sz val="11"/>
        <rFont val="ＭＳ Ｐゴシック"/>
        <family val="3"/>
      </rPr>
      <t>3</t>
    </r>
  </si>
  <si>
    <t>　Version 1.22</t>
  </si>
  <si>
    <r>
      <t>　・各職に"フリースキル</t>
    </r>
    <r>
      <rPr>
        <sz val="11"/>
        <rFont val="ＭＳ Ｐゴシック"/>
        <family val="3"/>
      </rPr>
      <t>"計算機能を追加</t>
    </r>
  </si>
  <si>
    <r>
      <t>　・振れるA</t>
    </r>
    <r>
      <rPr>
        <sz val="11"/>
        <rFont val="ＭＳ Ｐゴシック"/>
        <family val="3"/>
      </rPr>
      <t>Pの計算を修正</t>
    </r>
  </si>
  <si>
    <t>基本値+コンボ</t>
  </si>
  <si>
    <t>　・弓職、海賊の命中：スキル の初期入力値を改善</t>
  </si>
  <si>
    <t>　・バトルシップの耐久力計算式を修正</t>
  </si>
  <si>
    <t>入力されているスキルの繰り返しになりますので、</t>
  </si>
  <si>
    <t>同じスキルをいくつも入力する必要はありません</t>
  </si>
  <si>
    <t>アーム</t>
  </si>
  <si>
    <t>レッグ</t>
  </si>
  <si>
    <t>エンジン</t>
  </si>
  <si>
    <t>フレ-ム</t>
  </si>
  <si>
    <t>トランジスタ</t>
  </si>
  <si>
    <t>スピリットアップ</t>
  </si>
  <si>
    <t>命中率上昇</t>
  </si>
  <si>
    <t>ブレイド</t>
  </si>
  <si>
    <t>総補正が全職同じぐらいになるように設定。</t>
  </si>
  <si>
    <t>　2011/01/23</t>
  </si>
  <si>
    <t>　Version 1.33</t>
  </si>
  <si>
    <t>　・メカニックの計算シートを追加</t>
  </si>
  <si>
    <t>　・アークメイジ2職で持続ダメージを組み込んだ分間ダメージを計算できるようにしました</t>
  </si>
  <si>
    <t>　・ボムショットの2体目以降のダメージを計算できるようにしました</t>
  </si>
  <si>
    <t>　・ボムショット、クロスロードの分間ダメージを計算できるようにしました</t>
  </si>
  <si>
    <t>・ロボファクトリーは召喚してから消えるまでに与えるダメージをひとかたまりとし、</t>
  </si>
  <si>
    <t>・サテライトはオンオフスキルのため、召喚時の硬直は考慮していません</t>
  </si>
  <si>
    <t>・分間ダメージ計算は、コンボシミュレータ(下記参照)を使用してください</t>
  </si>
  <si>
    <t>単一スキルのみの分間ダメは、スキルを一つ入力するだけで算出できます</t>
  </si>
  <si>
    <t>使い方：スキル番号の右セルの緑色の部分に、対応するスキルの番号を順番に入力するだけ</t>
  </si>
  <si>
    <t>　・デモリションの期待値参照セルを修正</t>
  </si>
  <si>
    <t>　・バイパーシートにコンボシミュレータの説明書きを追加</t>
  </si>
  <si>
    <t>　Version 1.17</t>
  </si>
  <si>
    <t>　・全職ステータス入力欄に、指輪欄を3つ・ペット装備欄を追加</t>
  </si>
  <si>
    <t>　Version 1.18</t>
  </si>
  <si>
    <t>(MapleStory Ver.1.75時)</t>
  </si>
  <si>
    <t>　・ボウマスターシートのステ欄でペット・薬等セルが加算されていなかった不具合を修正</t>
  </si>
  <si>
    <t>STR</t>
  </si>
  <si>
    <t>DEX</t>
  </si>
  <si>
    <t>テレポートダメージを</t>
  </si>
  <si>
    <t>上乗せする</t>
  </si>
  <si>
    <t>分間ダメージに</t>
  </si>
  <si>
    <t>チェインライトニング(単一対象時)</t>
  </si>
  <si>
    <t>アイスデーモン</t>
  </si>
  <si>
    <t>ブリザード</t>
  </si>
  <si>
    <t>追加クリ率</t>
  </si>
  <si>
    <t>LUK</t>
  </si>
  <si>
    <t>INT</t>
  </si>
  <si>
    <t>ベルト</t>
  </si>
  <si>
    <t>ペット</t>
  </si>
  <si>
    <t>MH</t>
  </si>
  <si>
    <t>スキル</t>
  </si>
  <si>
    <t>アラン</t>
  </si>
  <si>
    <t>鉾</t>
  </si>
  <si>
    <t>ハイマスタリー</t>
  </si>
  <si>
    <t>通常攻撃</t>
  </si>
  <si>
    <t>ダブルスイング</t>
  </si>
  <si>
    <t>トリプルスイング</t>
  </si>
  <si>
    <t>ファイナルブロー</t>
  </si>
  <si>
    <t>コダマorエコー</t>
  </si>
  <si>
    <t>弱点相手</t>
  </si>
  <si>
    <t>(通常→ダブル→トリプル→ブロー)の分間セット回数</t>
  </si>
  <si>
    <t>(通常→ダブル→トリプル)の分間セット回数</t>
  </si>
  <si>
    <t>ブレスト</t>
  </si>
  <si>
    <t>INT</t>
  </si>
  <si>
    <t>LUK</t>
  </si>
  <si>
    <t>シャープ</t>
  </si>
  <si>
    <t>P.シャープ</t>
  </si>
  <si>
    <t>クリティカル</t>
  </si>
  <si>
    <t>その他装備等</t>
  </si>
  <si>
    <t>基本値　</t>
  </si>
  <si>
    <t>合計値　</t>
  </si>
  <si>
    <t>ダークフォース</t>
  </si>
  <si>
    <t>スピリットリベンジ</t>
  </si>
  <si>
    <t>アルティメット</t>
  </si>
  <si>
    <t>ストレイフ</t>
  </si>
  <si>
    <t>一分あたりのダメージ(コンボ100以降)</t>
  </si>
  <si>
    <t>コンボ数</t>
  </si>
  <si>
    <t>攻撃力上昇</t>
  </si>
  <si>
    <t>クリティカル率</t>
  </si>
  <si>
    <t>C.フェンリル</t>
  </si>
  <si>
    <t>C.スマッシュ</t>
  </si>
  <si>
    <t>スノーチャージダメージ率</t>
  </si>
  <si>
    <t>チャージなし</t>
  </si>
  <si>
    <t>弱点+なし</t>
  </si>
  <si>
    <t>通常+なし</t>
  </si>
  <si>
    <t>弱点+弱点</t>
  </si>
  <si>
    <t>通常+弱点</t>
  </si>
  <si>
    <t>弱点+通常</t>
  </si>
  <si>
    <t>通常+通常</t>
  </si>
  <si>
    <t>弱点+耐性</t>
  </si>
  <si>
    <t>通常+耐性</t>
  </si>
  <si>
    <t>・スキルは全て単一対象に攻撃した場合のダメージです</t>
  </si>
  <si>
    <t>イリュージョン</t>
  </si>
  <si>
    <t>イリュージョン</t>
  </si>
  <si>
    <t>4発合計</t>
  </si>
  <si>
    <t>ホイール</t>
  </si>
  <si>
    <t>アンプ</t>
  </si>
  <si>
    <t>アースクエイク</t>
  </si>
  <si>
    <t>ダークフォグ</t>
  </si>
  <si>
    <t>M.マスタリー</t>
  </si>
  <si>
    <t>フュｰリー</t>
  </si>
  <si>
    <t>竜頭</t>
  </si>
  <si>
    <t>竜首</t>
  </si>
  <si>
    <r>
      <t>　2010/0</t>
    </r>
    <r>
      <rPr>
        <sz val="11"/>
        <rFont val="ＭＳ Ｐゴシック"/>
        <family val="3"/>
      </rPr>
      <t>7</t>
    </r>
    <r>
      <rPr>
        <sz val="11"/>
        <rFont val="ＭＳ Ｐゴシック"/>
        <family val="3"/>
      </rPr>
      <t>/</t>
    </r>
    <r>
      <rPr>
        <sz val="11"/>
        <rFont val="ＭＳ Ｐゴシック"/>
        <family val="3"/>
      </rPr>
      <t>07</t>
    </r>
  </si>
  <si>
    <t>(MapleStory Ver.1.82時)</t>
  </si>
  <si>
    <t>竜羽</t>
  </si>
  <si>
    <t>竜尾</t>
  </si>
  <si>
    <t>ダークオーラ</t>
  </si>
  <si>
    <t>持続ダメージ</t>
  </si>
  <si>
    <t>分間ダメ</t>
  </si>
  <si>
    <t>・複数相手にスキルを使用した場合、分散がするため算出されたダメージより低くなります</t>
  </si>
  <si>
    <t>・スノーチャージで弱点をつく場合、C21セルにチェックを入れてください</t>
  </si>
  <si>
    <t>主な鉾の速度一覧</t>
  </si>
  <si>
    <t>速度5(やや早い)＝レッドデビル　メイプルフラッグ　サーフボード(紫)</t>
  </si>
  <si>
    <t>ボスダメージ上昇</t>
  </si>
  <si>
    <t>　ファイナルアタックの累積秒数は1秒プラスされています</t>
  </si>
  <si>
    <t>・暗殺発動からファイナルが入るまでに約1秒の時間があるため、</t>
  </si>
  <si>
    <t>一回の硬直</t>
  </si>
  <si>
    <t>損失ダメ</t>
  </si>
  <si>
    <t>追加ダメージ</t>
  </si>
  <si>
    <t>分間追加</t>
  </si>
  <si>
    <t>アイスデーモンを組み込む</t>
  </si>
  <si>
    <t>チェイン時</t>
  </si>
  <si>
    <t>損失回数</t>
  </si>
  <si>
    <t>始撃(最初の三発)</t>
  </si>
  <si>
    <t>累積後</t>
  </si>
  <si>
    <t>ファイナルアタック</t>
  </si>
  <si>
    <t>速度8(やや遅い)＝チュロイバー・ディエスイレ等鉾全般　スフィア・フレアグレイヴ</t>
  </si>
  <si>
    <r>
      <t>　2010/</t>
    </r>
    <r>
      <rPr>
        <sz val="11"/>
        <rFont val="ＭＳ Ｐゴシック"/>
        <family val="3"/>
      </rPr>
      <t>0</t>
    </r>
    <r>
      <rPr>
        <sz val="11"/>
        <rFont val="ＭＳ Ｐゴシック"/>
        <family val="3"/>
      </rPr>
      <t>1/11　　</t>
    </r>
  </si>
  <si>
    <r>
      <t>　2010/</t>
    </r>
    <r>
      <rPr>
        <sz val="11"/>
        <rFont val="ＭＳ Ｐゴシック"/>
        <family val="3"/>
      </rPr>
      <t>0</t>
    </r>
    <r>
      <rPr>
        <sz val="11"/>
        <rFont val="ＭＳ Ｐゴシック"/>
        <family val="3"/>
      </rPr>
      <t>1/</t>
    </r>
    <r>
      <rPr>
        <sz val="11"/>
        <rFont val="ＭＳ Ｐゴシック"/>
        <family val="3"/>
      </rPr>
      <t>29</t>
    </r>
    <r>
      <rPr>
        <sz val="11"/>
        <rFont val="ＭＳ Ｐゴシック"/>
        <family val="3"/>
      </rPr>
      <t>　</t>
    </r>
  </si>
  <si>
    <r>
      <t>　2010/</t>
    </r>
    <r>
      <rPr>
        <sz val="11"/>
        <rFont val="ＭＳ Ｐゴシック"/>
        <family val="3"/>
      </rPr>
      <t>02</t>
    </r>
    <r>
      <rPr>
        <sz val="11"/>
        <rFont val="ＭＳ Ｐゴシック"/>
        <family val="3"/>
      </rPr>
      <t>/</t>
    </r>
    <r>
      <rPr>
        <sz val="11"/>
        <rFont val="ＭＳ Ｐゴシック"/>
        <family val="3"/>
      </rPr>
      <t>04</t>
    </r>
    <r>
      <rPr>
        <sz val="11"/>
        <rFont val="ＭＳ Ｐゴシック"/>
        <family val="3"/>
      </rPr>
      <t>　</t>
    </r>
  </si>
  <si>
    <t>　Version 1.19</t>
  </si>
  <si>
    <t>　・アランシートを追加</t>
  </si>
  <si>
    <r>
      <t>　・アークメイジのアンプ補正を1</t>
    </r>
    <r>
      <rPr>
        <sz val="11"/>
        <rFont val="ＭＳ Ｐゴシック"/>
        <family val="3"/>
      </rPr>
      <t>.4に修正</t>
    </r>
  </si>
  <si>
    <t>　・スナイピング再使用待機時間を修正</t>
  </si>
  <si>
    <t>　・コダマ・エコーの使用方法を変更</t>
  </si>
  <si>
    <t>　Version 1.20</t>
  </si>
  <si>
    <t>　・アランシートにコンボテンペストを追加</t>
  </si>
  <si>
    <t>プレッシャー</t>
  </si>
  <si>
    <t>スキルLv</t>
  </si>
  <si>
    <t>防御力減少</t>
  </si>
  <si>
    <r>
      <t>　・プレッシャー(防御力減少</t>
    </r>
    <r>
      <rPr>
        <sz val="11"/>
        <rFont val="ＭＳ Ｐゴシック"/>
        <family val="3"/>
      </rPr>
      <t>)を使用できるようにしました</t>
    </r>
  </si>
  <si>
    <t>E.アンプ</t>
  </si>
  <si>
    <t>氷</t>
  </si>
  <si>
    <t>火</t>
  </si>
  <si>
    <t>　ダメージカンスト値</t>
  </si>
  <si>
    <t>聖</t>
  </si>
  <si>
    <t>弱</t>
  </si>
  <si>
    <t>点</t>
  </si>
  <si>
    <t>通</t>
  </si>
  <si>
    <t>常</t>
  </si>
  <si>
    <t>耐</t>
  </si>
  <si>
    <t>性</t>
  </si>
  <si>
    <t>聖+雷</t>
  </si>
  <si>
    <t>火+雷</t>
  </si>
  <si>
    <t>氷+雷</t>
  </si>
  <si>
    <t>クリティカル</t>
  </si>
  <si>
    <t>総ダメージ率</t>
  </si>
  <si>
    <t>一分あたりのダメージ</t>
  </si>
  <si>
    <t>　Web版で使用する際は、このセルに"1"(半角)を入力する事で、チェックボックスオンと同じ働きをします。</t>
  </si>
  <si>
    <t>肩</t>
  </si>
  <si>
    <t>チャージ倍率表</t>
  </si>
  <si>
    <t>・雷弱点と雷耐性　両方チェックした場合は、弱点の計算になります</t>
  </si>
  <si>
    <t>・チャージ重ねがけの計算式は以下</t>
  </si>
  <si>
    <t>・(雷チャージ補正/10)*弱点補正(/1.2(※))+他チャージ補正*弱点補正</t>
  </si>
  <si>
    <t>・※雷弱点耐性補正は、他チャージに弱点耐性がある場合、÷1.2されます</t>
  </si>
  <si>
    <t>雷弱点</t>
  </si>
  <si>
    <t>氷弱点</t>
  </si>
  <si>
    <t>エルクィネス</t>
  </si>
  <si>
    <t>毒弱点</t>
  </si>
  <si>
    <t>火弱点</t>
  </si>
  <si>
    <t>ファミ</t>
  </si>
  <si>
    <t>・スナイピングの待機時間はLv30あたりから○秒+0～3秒でランダムで増加します</t>
  </si>
  <si>
    <t>マークスマン</t>
  </si>
  <si>
    <t>シップ</t>
  </si>
  <si>
    <t>・ピオシングMAXチャージ時分間攻撃回数は、32回/分</t>
  </si>
  <si>
    <t>　・その他もろもろ</t>
  </si>
  <si>
    <t>(MapleStory Ver.1.79時)</t>
  </si>
  <si>
    <t>(MapleStory Ver.1.78時)</t>
  </si>
  <si>
    <t>　デュアルブレイド</t>
  </si>
  <si>
    <r>
      <t>　　・ミラーイメージング(大</t>
    </r>
    <r>
      <rPr>
        <sz val="11"/>
        <rFont val="ＭＳ Ｐゴシック"/>
        <family val="3"/>
      </rPr>
      <t>)</t>
    </r>
  </si>
  <si>
    <r>
      <t>　　・ソンズエフェクト(中</t>
    </r>
    <r>
      <rPr>
        <sz val="11"/>
        <rFont val="ＭＳ Ｐゴシック"/>
        <family val="3"/>
      </rPr>
      <t>)</t>
    </r>
  </si>
  <si>
    <t>　Version 1.36</t>
  </si>
  <si>
    <t>(MapleStory Ver.2.00時)</t>
  </si>
  <si>
    <r>
      <t>　2011/0</t>
    </r>
    <r>
      <rPr>
        <sz val="11"/>
        <rFont val="ＭＳ Ｐゴシック"/>
        <family val="3"/>
      </rPr>
      <t>7</t>
    </r>
    <r>
      <rPr>
        <sz val="11"/>
        <rFont val="ＭＳ Ｐゴシック"/>
        <family val="3"/>
      </rPr>
      <t>/</t>
    </r>
    <r>
      <rPr>
        <sz val="11"/>
        <rFont val="ＭＳ Ｐゴシック"/>
        <family val="3"/>
      </rPr>
      <t>28</t>
    </r>
  </si>
  <si>
    <t>　・ルネサンスアップデートに伴う計算式、スキル能力の改変に対応しました</t>
  </si>
  <si>
    <t>　・ダークナイトにダークインペールを仮追加</t>
  </si>
  <si>
    <t>・デモリションは防御率100%無視です。また、スキル説明の防御率無視は全スキルに適用</t>
  </si>
  <si>
    <t>　2010/04/10</t>
  </si>
  <si>
    <t>　Version 1.21</t>
  </si>
  <si>
    <r>
      <t>　2010</t>
    </r>
    <r>
      <rPr>
        <sz val="11"/>
        <rFont val="ＭＳ Ｐゴシック"/>
        <family val="3"/>
      </rPr>
      <t>/12/13</t>
    </r>
  </si>
  <si>
    <t>　Version 1.31</t>
  </si>
  <si>
    <t>　・バトルメイジ、ワイルドハンターの計算シートを追加</t>
  </si>
  <si>
    <t>ヘビーマシンガン組込</t>
  </si>
  <si>
    <t>　・ナイトロードのスピリットダークの有無を選択できるようにしました</t>
  </si>
  <si>
    <t>　・スナイピングのダメージを修正</t>
  </si>
  <si>
    <t>　・パラディンのチャージ計算式を修正</t>
  </si>
  <si>
    <t>アローボム</t>
  </si>
  <si>
    <t>　Version 1.24</t>
  </si>
  <si>
    <t>　・エヴァン、デュアルブレードの計算シートを仮追加</t>
  </si>
  <si>
    <t>　・ボウマスターのアローボムの計算セルを追加</t>
  </si>
  <si>
    <t>　・スタンマスタリーのダメージ率を修正</t>
  </si>
  <si>
    <t>　・バトルシップ耐久力計算式を修正</t>
  </si>
  <si>
    <t>セルは、チェックボックスがあります。ただしWeb版ではチェックボックスが表示されません。</t>
  </si>
  <si>
    <t>　Version 1.29</t>
  </si>
  <si>
    <r>
      <t>　2010</t>
    </r>
    <r>
      <rPr>
        <sz val="11"/>
        <rFont val="ＭＳ Ｐゴシック"/>
        <family val="3"/>
      </rPr>
      <t>/11/23</t>
    </r>
  </si>
  <si>
    <t>　・戦士3職にファイナルアタックを追加</t>
  </si>
  <si>
    <t>　・エラーになっていたセルを修正</t>
  </si>
  <si>
    <t>　・一部計算仕様を修正</t>
  </si>
  <si>
    <t>　もし他所へ入力してしまった場合は、保存をせずに一旦を閉じて再び開くか、　"元に戻す"(Ctrl+ Z キー)で戻ります</t>
  </si>
  <si>
    <r>
      <t>　・W</t>
    </r>
    <r>
      <rPr>
        <sz val="11"/>
        <rFont val="ＭＳ Ｐゴシック"/>
        <family val="3"/>
      </rPr>
      <t>eb版にチェックボックスの代用機能を追加</t>
    </r>
  </si>
  <si>
    <t>ブレイズ</t>
  </si>
  <si>
    <t>　・パラディンのダメージ表記方法を変更</t>
  </si>
  <si>
    <r>
      <t>　・"冒険家の帰還</t>
    </r>
    <r>
      <rPr>
        <sz val="11"/>
        <rFont val="ＭＳ Ｐゴシック"/>
        <family val="3"/>
      </rPr>
      <t>"による計算式・仕様の変更に対応</t>
    </r>
  </si>
  <si>
    <r>
      <t>　2010/</t>
    </r>
    <r>
      <rPr>
        <sz val="11"/>
        <rFont val="ＭＳ Ｐゴシック"/>
        <family val="3"/>
      </rPr>
      <t>04</t>
    </r>
    <r>
      <rPr>
        <sz val="11"/>
        <rFont val="ＭＳ Ｐゴシック"/>
        <family val="3"/>
      </rPr>
      <t>/</t>
    </r>
    <r>
      <rPr>
        <sz val="11"/>
        <rFont val="ＭＳ Ｐゴシック"/>
        <family val="3"/>
      </rPr>
      <t>05</t>
    </r>
    <r>
      <rPr>
        <sz val="11"/>
        <rFont val="ＭＳ Ｐゴシック"/>
        <family val="3"/>
      </rPr>
      <t>　</t>
    </r>
  </si>
  <si>
    <t>雷重ね掛け</t>
  </si>
  <si>
    <t>速度6(普通)　　 ＝サーフボード全般(除：赤)　スノーボード全般　メイプルブローバ・カルスタン</t>
  </si>
  <si>
    <t>Lv</t>
  </si>
  <si>
    <t>STR</t>
  </si>
  <si>
    <t>DEX</t>
  </si>
  <si>
    <t>振れるAP</t>
  </si>
  <si>
    <t>素</t>
  </si>
  <si>
    <t>武</t>
  </si>
  <si>
    <t>攻撃速度</t>
  </si>
  <si>
    <t>盾</t>
  </si>
  <si>
    <t>頭</t>
  </si>
  <si>
    <t>顔</t>
  </si>
  <si>
    <t>目</t>
  </si>
  <si>
    <t>首</t>
  </si>
  <si>
    <t>耳</t>
  </si>
  <si>
    <t>合計ダメージ</t>
  </si>
  <si>
    <t>ダメージ率</t>
  </si>
  <si>
    <t>カウント数</t>
  </si>
  <si>
    <t>倍率</t>
  </si>
  <si>
    <t>一段</t>
  </si>
  <si>
    <t>合計</t>
  </si>
  <si>
    <t>最小</t>
  </si>
  <si>
    <t>平均</t>
  </si>
  <si>
    <t>最大</t>
  </si>
  <si>
    <t>靴</t>
  </si>
  <si>
    <t>手</t>
  </si>
  <si>
    <t>背</t>
  </si>
  <si>
    <t>MH上昇率</t>
  </si>
  <si>
    <t>補正</t>
  </si>
  <si>
    <t>補足</t>
  </si>
  <si>
    <t>・B4には「片手剣」「両手剣」「片手斧」「両手斧」のいずれかを入力</t>
  </si>
  <si>
    <t>攻撃回数</t>
  </si>
  <si>
    <t>一分あたりのダメージ</t>
  </si>
  <si>
    <t>ヒーロー</t>
  </si>
  <si>
    <t>MIN</t>
  </si>
  <si>
    <t>AVE</t>
  </si>
  <si>
    <t>MAX</t>
  </si>
  <si>
    <t>コンボシステム</t>
  </si>
  <si>
    <t>ACLv</t>
  </si>
  <si>
    <t>MH</t>
  </si>
  <si>
    <t>聖チャージ</t>
  </si>
  <si>
    <t>(FA込み)</t>
  </si>
  <si>
    <r>
      <t>一分あたりのダメージ(</t>
    </r>
    <r>
      <rPr>
        <sz val="11"/>
        <rFont val="ＭＳ Ｐゴシック"/>
        <family val="3"/>
      </rPr>
      <t>FA込み)</t>
    </r>
  </si>
  <si>
    <t>全段合計</t>
  </si>
  <si>
    <t>一分あたりのダメージ(ミラー含む)</t>
  </si>
  <si>
    <t>インフィニティ</t>
  </si>
  <si>
    <t>最終ダメージ率</t>
  </si>
  <si>
    <t>ダメージ上昇回数</t>
  </si>
  <si>
    <t>平均ダメージ率</t>
  </si>
  <si>
    <t>分間平均倍率</t>
  </si>
  <si>
    <t>(弱点時)</t>
  </si>
  <si>
    <t>(通常時)</t>
  </si>
  <si>
    <t>チャンスアタック</t>
  </si>
  <si>
    <t>一分あたりのダメージ(持続ダメージ込み)</t>
  </si>
  <si>
    <t>テレポートマスタリー</t>
  </si>
  <si>
    <t>一分あたりのダメージ(通常時)</t>
  </si>
  <si>
    <t>一分あたりのダメージ(弱点時)</t>
  </si>
  <si>
    <t>インフィニティ</t>
  </si>
  <si>
    <t>エルクィネス</t>
  </si>
  <si>
    <t>防御率無視</t>
  </si>
  <si>
    <t>インファイティング</t>
  </si>
  <si>
    <t>マスタリー</t>
  </si>
  <si>
    <t>カウンターアタック</t>
  </si>
  <si>
    <t>5発合計</t>
  </si>
  <si>
    <t>・B4には「片手剣」「両手剣」「片手鈍器」「両手鈍器」のいずれかを入力</t>
  </si>
  <si>
    <t>攻撃力</t>
  </si>
  <si>
    <t>上昇率</t>
  </si>
  <si>
    <t>チャージブロー</t>
  </si>
  <si>
    <t>通常単発</t>
  </si>
  <si>
    <t>メイジ、エヴァンのみ特化育成、その他は120装備にあわせたステータス</t>
  </si>
  <si>
    <t>全職、MH9がかかった状態が初期値になってます。</t>
  </si>
  <si>
    <t>基本的に120武器。ヒーロー・パラディンはグレイヴ、メイジ、エヴァンは130属性杖を想定。</t>
  </si>
  <si>
    <t>　強制ではありません。</t>
  </si>
  <si>
    <t>単発</t>
  </si>
  <si>
    <t>熟練度</t>
  </si>
  <si>
    <t>STR</t>
  </si>
  <si>
    <t>DEX</t>
  </si>
  <si>
    <t>LUK</t>
  </si>
  <si>
    <t>INT</t>
  </si>
  <si>
    <t>Lv</t>
  </si>
  <si>
    <t>ベルト</t>
  </si>
  <si>
    <t>ペット</t>
  </si>
  <si>
    <t>MH</t>
  </si>
  <si>
    <t>スキル</t>
  </si>
  <si>
    <t>Lv</t>
  </si>
  <si>
    <t>エヴァン</t>
  </si>
  <si>
    <t>弓</t>
  </si>
  <si>
    <t>単発期待値</t>
  </si>
  <si>
    <t>矢</t>
  </si>
  <si>
    <t>攻撃</t>
  </si>
  <si>
    <t>射出数/分</t>
  </si>
  <si>
    <t>通常</t>
  </si>
  <si>
    <t>・暴風の射出数は攻撃速度に依存しないとし、500発/分で統一</t>
  </si>
  <si>
    <t>最高</t>
  </si>
  <si>
    <t>発生確率</t>
  </si>
  <si>
    <t>上乗せ期待値</t>
  </si>
  <si>
    <t>弩</t>
  </si>
  <si>
    <t>最大捕捉</t>
  </si>
  <si>
    <t>捕捉数</t>
  </si>
  <si>
    <t>期待値</t>
  </si>
  <si>
    <t>短剣</t>
  </si>
  <si>
    <t>一分あたりの総ダメージ</t>
  </si>
  <si>
    <t>アサルター</t>
  </si>
  <si>
    <t>使用スキル</t>
  </si>
  <si>
    <t>単一対象</t>
  </si>
  <si>
    <t>　(シャドーの暗殺、バイパーのコンボシミュレータ、魔法使いのテレポートマスタリーのみ、</t>
  </si>
  <si>
    <t>　右部に入力部分があります。)</t>
  </si>
  <si>
    <t>STR</t>
  </si>
  <si>
    <t>DEX</t>
  </si>
  <si>
    <t>INT</t>
  </si>
  <si>
    <t>LUK</t>
  </si>
  <si>
    <t>クリティカル</t>
  </si>
  <si>
    <t>ベルト</t>
  </si>
  <si>
    <t>ペット</t>
  </si>
  <si>
    <t>MH</t>
  </si>
  <si>
    <t>スキル</t>
  </si>
  <si>
    <t>STR％</t>
  </si>
  <si>
    <t>DEX％</t>
  </si>
  <si>
    <t>INT％</t>
  </si>
  <si>
    <t>LUK％</t>
  </si>
  <si>
    <t>クリティカル</t>
  </si>
  <si>
    <t>スキルLv</t>
  </si>
  <si>
    <t>シャープ</t>
  </si>
  <si>
    <t>プレッシャー</t>
  </si>
  <si>
    <t>P.シャープ</t>
  </si>
  <si>
    <t>コダマorエコー</t>
  </si>
  <si>
    <t>テレポートマスタリー</t>
  </si>
  <si>
    <t>Lv</t>
  </si>
  <si>
    <t>フリースキル</t>
  </si>
  <si>
    <t>バトルメイジ</t>
  </si>
  <si>
    <t>フィニッシュブロ</t>
  </si>
  <si>
    <t>サイクロン</t>
  </si>
  <si>
    <t>ダークジェネシス</t>
  </si>
  <si>
    <t>A.ダークオーラ</t>
  </si>
  <si>
    <t>フィニッシュアタック</t>
  </si>
  <si>
    <t>(所要時間+持続時間</t>
  </si>
  <si>
    <t>(発動時間割合</t>
  </si>
  <si>
    <t>(攻撃力上昇</t>
  </si>
  <si>
    <t>エナジー充填所要時間</t>
  </si>
  <si>
    <t>(デモリ</t>
  </si>
  <si>
    <t>(フィスト+ドラスト</t>
  </si>
  <si>
    <t>・攻撃の補正欄は、スーパートランス、トランス、エネルギーの攻撃力が</t>
  </si>
  <si>
    <t>　常にかかっていると想定した場合の攻撃力数値です</t>
  </si>
  <si>
    <t>(Sトランス)</t>
  </si>
  <si>
    <t>(トランス)</t>
  </si>
  <si>
    <t>トランス2種・エナジーの</t>
  </si>
  <si>
    <t>攻撃力分間換算</t>
  </si>
  <si>
    <t>・分間ダメージを見たい場合は、D21のチェックボックスをONにしてください</t>
  </si>
  <si>
    <t>　Version 1.35</t>
  </si>
  <si>
    <r>
      <t>　2011/03/</t>
    </r>
    <r>
      <rPr>
        <sz val="11"/>
        <rFont val="ＭＳ Ｐゴシック"/>
        <family val="3"/>
      </rPr>
      <t>11</t>
    </r>
  </si>
  <si>
    <t>　・キャプテン、バイパー、メカニックのラッキーダイス仕様を修正</t>
  </si>
  <si>
    <t>　・バイパーの攻撃力上昇値の計算を修正</t>
  </si>
  <si>
    <t>フィニッシュアタック</t>
  </si>
  <si>
    <t>ダークジェネシス</t>
  </si>
  <si>
    <t>ダークライトニング</t>
  </si>
  <si>
    <t>黒オーラ使用</t>
  </si>
  <si>
    <t>ダークオーラ</t>
  </si>
  <si>
    <t>スーパーボディーを</t>
  </si>
  <si>
    <t>ブロー+F.アタック使用</t>
  </si>
  <si>
    <t>ファントムブロウ</t>
  </si>
  <si>
    <t>ブレイドフュ-リ-</t>
  </si>
  <si>
    <t>シャープネス</t>
  </si>
  <si>
    <t>ソンズエフェクト</t>
  </si>
  <si>
    <t>ミラー込み</t>
  </si>
  <si>
    <t>ファイナルスラッシュ(最大チャージ)</t>
  </si>
  <si>
    <t>ファントムブロウ</t>
  </si>
  <si>
    <t>ミラー込みの合計</t>
  </si>
  <si>
    <t>ライト回数</t>
  </si>
  <si>
    <t>ブロー+F.アタック</t>
  </si>
  <si>
    <t>ブロー+D.ライトニング使用</t>
  </si>
  <si>
    <t>+D.ライトニング使用</t>
  </si>
  <si>
    <t>暗殺</t>
  </si>
  <si>
    <t>アサルター</t>
  </si>
  <si>
    <t>暗殺（ファイナルなし）</t>
  </si>
  <si>
    <t>暗殺（ファイナルあり）</t>
  </si>
  <si>
    <t>ブーメランステップ</t>
  </si>
  <si>
    <t>サベジ</t>
  </si>
  <si>
    <t>･攻撃速度は現状、やや早い・早いで差が生まれないためスルーしています</t>
  </si>
  <si>
    <t>スキル</t>
  </si>
  <si>
    <t>攻撃回数/分</t>
  </si>
  <si>
    <t>サベッジスタブ</t>
  </si>
  <si>
    <t>アサルター</t>
  </si>
  <si>
    <t>サベジ</t>
  </si>
  <si>
    <t>アサルター</t>
  </si>
  <si>
    <t>篭手</t>
  </si>
  <si>
    <t>手裏剣</t>
  </si>
  <si>
    <t>シャドーパｰトナー召喚時合計期待値</t>
  </si>
  <si>
    <t>ブレスト</t>
  </si>
  <si>
    <t>ダークナイト</t>
  </si>
  <si>
    <t>タイタン</t>
  </si>
  <si>
    <t>セーフティー</t>
  </si>
  <si>
    <t>ロボファクトリー</t>
  </si>
  <si>
    <t>ロボマスタリー</t>
  </si>
  <si>
    <t>自爆ダメージ</t>
  </si>
  <si>
    <t>Lv</t>
  </si>
  <si>
    <t>STR</t>
  </si>
  <si>
    <t>DEX</t>
  </si>
  <si>
    <t>スピリット</t>
  </si>
  <si>
    <t>MH</t>
  </si>
  <si>
    <t>ボウマスター</t>
  </si>
  <si>
    <t>ストレイフ</t>
  </si>
  <si>
    <t>合計上昇速度</t>
  </si>
  <si>
    <t>速度上昇スキル</t>
  </si>
  <si>
    <t>無</t>
  </si>
  <si>
    <r>
      <t>(</t>
    </r>
    <r>
      <rPr>
        <sz val="11"/>
        <rFont val="ＭＳ Ｐゴシック"/>
        <family val="3"/>
      </rPr>
      <t>W</t>
    </r>
    <r>
      <rPr>
        <sz val="11"/>
        <rFont val="ＭＳ Ｐゴシック"/>
        <family val="3"/>
      </rPr>
      <t>B+黄オーラ)</t>
    </r>
  </si>
  <si>
    <t>エキスパート</t>
  </si>
  <si>
    <t>MH</t>
  </si>
  <si>
    <t>Lv</t>
  </si>
  <si>
    <t>クリティカル</t>
  </si>
  <si>
    <t>期待値</t>
  </si>
  <si>
    <t>クロスボウマスター</t>
  </si>
  <si>
    <t>Lv</t>
  </si>
  <si>
    <t>STR</t>
  </si>
  <si>
    <t>DEX</t>
  </si>
  <si>
    <t>　アラン</t>
  </si>
  <si>
    <t>　</t>
  </si>
  <si>
    <t>　　　※コンボシステムにより、攻撃力上昇に時間がかかる</t>
  </si>
  <si>
    <t>LUK</t>
  </si>
  <si>
    <t>INT</t>
  </si>
  <si>
    <t>ピオシング</t>
  </si>
  <si>
    <t>ピオシング</t>
  </si>
  <si>
    <t>シャドー</t>
  </si>
  <si>
    <t>STR</t>
  </si>
  <si>
    <t>DEX</t>
  </si>
  <si>
    <t>サベッジスタブ</t>
  </si>
  <si>
    <t>暗殺FA有</t>
  </si>
  <si>
    <t>撒く</t>
  </si>
  <si>
    <t>ブーメラン
ステップ＋</t>
  </si>
  <si>
    <t>アサルター</t>
  </si>
  <si>
    <t>MH</t>
  </si>
  <si>
    <t>ブーメランステップ</t>
  </si>
  <si>
    <t>ブーメラン
ステップ＋</t>
  </si>
  <si>
    <t>ナイトロード</t>
  </si>
  <si>
    <t>トリプルスロー</t>
  </si>
  <si>
    <t>MH</t>
  </si>
  <si>
    <t>Read me</t>
  </si>
  <si>
    <t xml:space="preserve"> 　「あるスキルを一分間使い続けた時の総ダメージ量」</t>
  </si>
  <si>
    <t>　を算出できます。</t>
  </si>
  <si>
    <t>■使い方</t>
  </si>
  <si>
    <t>　この色で</t>
  </si>
  <si>
    <t>塗られたセル(マス)にそれぞれ数値等を入力してください。</t>
  </si>
  <si>
    <t>　当サイト(http://f2d10l.blog137.fc2.com/)で公開されているという事を書き添えて頂ければ幸いです。</t>
  </si>
  <si>
    <t>充填率</t>
  </si>
  <si>
    <t>スピダク使用</t>
  </si>
  <si>
    <t>　ただし、数値は半角でないと機能しませんし、武器の種類は正確に入力しないと機能しません。</t>
  </si>
  <si>
    <t>　シャドー以外は、</t>
  </si>
  <si>
    <t>この色で</t>
  </si>
  <si>
    <t>塗られたセル(マス)が一分あたりのダメージです。</t>
  </si>
  <si>
    <t>　MHはメイプルヒーローの略</t>
  </si>
  <si>
    <t>■注意書</t>
  </si>
  <si>
    <t>　ないとは思いますが再配布等は禁止です。</t>
  </si>
  <si>
    <t>コンボカウント数によるダメージ率の推移</t>
  </si>
  <si>
    <t>　エクセル初心者が手探りで作ったので、関数等の使い方が下手糞かもしれませんが多めに見てください。</t>
  </si>
  <si>
    <t>　計算結果は正しいはずです。</t>
  </si>
  <si>
    <t>短剣・ブレイド</t>
  </si>
  <si>
    <t>　式等が壊れて使えなくなる可能性があります。</t>
  </si>
  <si>
    <t>■更新履歴</t>
  </si>
  <si>
    <t>　・一部で文字が正常に表示されない不具合を修正</t>
  </si>
  <si>
    <r>
      <t>　・W</t>
    </r>
    <r>
      <rPr>
        <sz val="11"/>
        <rFont val="ＭＳ Ｐゴシック"/>
        <family val="3"/>
      </rPr>
      <t>ebページ版を公開</t>
    </r>
  </si>
  <si>
    <t>　・初版公開</t>
  </si>
  <si>
    <t>■公開元</t>
  </si>
  <si>
    <t>クリティカル</t>
  </si>
  <si>
    <t>インペール時</t>
  </si>
  <si>
    <t>　実際に計算結果より大きい・小さい数値が出た、等の間違いがあればこちらへ。</t>
  </si>
  <si>
    <t>DamagePerMinute</t>
  </si>
  <si>
    <t>　2008/03/12</t>
  </si>
  <si>
    <t>　Version 1.01</t>
  </si>
  <si>
    <r>
      <t>　</t>
    </r>
    <r>
      <rPr>
        <sz val="11"/>
        <rFont val="ＭＳ Ｐゴシック"/>
        <family val="3"/>
      </rPr>
      <t>2</t>
    </r>
    <r>
      <rPr>
        <sz val="11"/>
        <rFont val="ＭＳ Ｐゴシック"/>
        <family val="3"/>
      </rPr>
      <t>008/03/06</t>
    </r>
  </si>
  <si>
    <t>　Version 1.00</t>
  </si>
  <si>
    <t>　ほたるのひかり</t>
  </si>
  <si>
    <t>Lv</t>
  </si>
  <si>
    <t>STR</t>
  </si>
  <si>
    <t>DEX</t>
  </si>
  <si>
    <t>LUK</t>
  </si>
  <si>
    <t>INT</t>
  </si>
  <si>
    <t>MH</t>
  </si>
  <si>
    <t>キリングウィング</t>
  </si>
  <si>
    <t>ゴーストレタリング</t>
  </si>
  <si>
    <t>アークメイジ(火・毒)</t>
  </si>
  <si>
    <t>ナムネス</t>
  </si>
  <si>
    <t>デーモン</t>
  </si>
  <si>
    <t>メテオ</t>
  </si>
  <si>
    <t>武器属性</t>
  </si>
  <si>
    <t>Lv</t>
  </si>
  <si>
    <t>最大補足</t>
  </si>
  <si>
    <t>　Version 1.23</t>
  </si>
  <si>
    <t>(MapleStory Ver.1.80時)</t>
  </si>
  <si>
    <t>　・クリティカル効果付きの装備を適用できるようにしました</t>
  </si>
  <si>
    <r>
      <t>　・S</t>
    </r>
    <r>
      <rPr>
        <sz val="11"/>
        <rFont val="ＭＳ Ｐゴシック"/>
        <family val="3"/>
      </rPr>
      <t>Eとクリティカルの計算のレイアウトを変更</t>
    </r>
  </si>
  <si>
    <t>　・モンスター種族別特攻効果を仮追加</t>
  </si>
  <si>
    <t>　・パラディンの期待値計算式を修正</t>
  </si>
  <si>
    <t>魔力</t>
  </si>
  <si>
    <t>耐性</t>
  </si>
  <si>
    <t>弱点</t>
  </si>
  <si>
    <t>ファイアデーモン</t>
  </si>
  <si>
    <t>メテオ</t>
  </si>
  <si>
    <t>Lv</t>
  </si>
  <si>
    <t>Lv</t>
  </si>
  <si>
    <t>デーモン</t>
  </si>
  <si>
    <t>MH</t>
  </si>
  <si>
    <t>アークメイジ(氷・雷)</t>
  </si>
  <si>
    <t>チェイン</t>
  </si>
  <si>
    <t>・武器属性 欄には「毒」「火」のいずれかを入力</t>
  </si>
  <si>
    <t>・「毒」「火」以外を入力すると(何も入力しなければ)無属性とされます</t>
  </si>
  <si>
    <t>雷</t>
  </si>
  <si>
    <t>ブリザード</t>
  </si>
  <si>
    <t>一分あたりのダメージ(シャドパ込み)</t>
  </si>
  <si>
    <t>分間ダメージ倍率</t>
  </si>
  <si>
    <t>MH</t>
  </si>
  <si>
    <t>ビショップ</t>
  </si>
  <si>
    <t>エンジェルレイ</t>
  </si>
  <si>
    <t>ジェネシス</t>
  </si>
  <si>
    <t>エンジェルレイ</t>
  </si>
  <si>
    <t>クリティカル</t>
  </si>
  <si>
    <t>アッパーステップ</t>
  </si>
  <si>
    <t>持続ダメージ</t>
  </si>
  <si>
    <t>持続ダメージ率</t>
  </si>
  <si>
    <t>イフリート</t>
  </si>
  <si>
    <t>・レタリング・キリングにはレタリング・キリングを組み込めません</t>
  </si>
  <si>
    <t>イフリート</t>
  </si>
  <si>
    <t>ナムネスバインド(単一対象時)</t>
  </si>
  <si>
    <t>マスターマジック</t>
  </si>
  <si>
    <t>総ダメージ率</t>
  </si>
  <si>
    <t>　2008/03/14</t>
  </si>
  <si>
    <t>　Version 1.02</t>
  </si>
  <si>
    <t>　・アークメイジ・ビショップの計算シートを追加</t>
  </si>
  <si>
    <t>STR</t>
  </si>
  <si>
    <t>DEX</t>
  </si>
  <si>
    <t>INT</t>
  </si>
  <si>
    <t>LUK</t>
  </si>
  <si>
    <t>ラッキーダイス</t>
  </si>
  <si>
    <t>クリティカル</t>
  </si>
  <si>
    <t>MH</t>
  </si>
  <si>
    <t>スキル</t>
  </si>
  <si>
    <t>シャープ</t>
  </si>
  <si>
    <t>プレッシャー</t>
  </si>
  <si>
    <t>スキルLv</t>
  </si>
  <si>
    <t>コダマorエコー</t>
  </si>
  <si>
    <t>Lv</t>
  </si>
  <si>
    <t>メカニック</t>
  </si>
  <si>
    <t>Lv</t>
  </si>
  <si>
    <t>レーザーブラスト</t>
  </si>
  <si>
    <t>ウォーマシン：タイタン</t>
  </si>
  <si>
    <t>チャージ</t>
  </si>
  <si>
    <t>ロボファクトリー</t>
  </si>
  <si>
    <t>サテライト</t>
  </si>
  <si>
    <t>トイロボット</t>
  </si>
  <si>
    <t>アンプリファイア</t>
  </si>
  <si>
    <t>　・シャドー・暗殺(ファイナルあり)の計算式がおかしい気がしたので修正</t>
  </si>
  <si>
    <t>　・パラディンにシャープアイズを適用出来るようになりました</t>
  </si>
  <si>
    <t>･攻撃　の補正　欄は、エキスパートによる上昇値です　</t>
  </si>
  <si>
    <t>鎧上</t>
  </si>
  <si>
    <t>･斧でも突き、振りでのダメージ変化はありません</t>
  </si>
  <si>
    <t>･鈍器でも突き、振りでのダメージ変化はありません</t>
  </si>
  <si>
    <t>・コンバットオーダーは、そのまま使用後のスキルLvを入力してください</t>
  </si>
  <si>
    <t>･槍、鉾でも突き、振りでのダメージ変化はありません</t>
  </si>
  <si>
    <t>・サクリファイスは防御率完全無視</t>
  </si>
  <si>
    <t>スナイプ込</t>
  </si>
  <si>
    <t>・スナイピングにファイナルアタックは発生しません</t>
  </si>
  <si>
    <t>デュアルブレイド</t>
  </si>
  <si>
    <t>エヴァン(ブレイズ　火弱点)</t>
  </si>
  <si>
    <t>バトルメイジ</t>
  </si>
  <si>
    <t>ワイルドハンター</t>
  </si>
  <si>
    <t>クロスボウマスター</t>
  </si>
  <si>
    <t>ボウマスター</t>
  </si>
  <si>
    <t>ヒーロー</t>
  </si>
  <si>
    <t>メカニック</t>
  </si>
  <si>
    <t>バイパー</t>
  </si>
  <si>
    <t>エヴァン(イリュージョン)</t>
  </si>
  <si>
    <t>・アトミックハンマーの防御率無視はパッシブとして機能しています</t>
  </si>
  <si>
    <t>･クロスロードとソニックとクロウカットのダメージはライディングマスタリー効果で1.4倍</t>
  </si>
  <si>
    <t>・ファントムブロウの防御率無視はパッシブ効果で全スキルにかかっています</t>
  </si>
  <si>
    <t>・ブレスト防御率無視はパッシブ効果で全スキルにかかっています</t>
  </si>
  <si>
    <r>
      <t>　2011/0</t>
    </r>
    <r>
      <rPr>
        <sz val="11"/>
        <rFont val="ＭＳ Ｐゴシック"/>
        <family val="3"/>
      </rPr>
      <t>8</t>
    </r>
    <r>
      <rPr>
        <sz val="11"/>
        <rFont val="ＭＳ Ｐゴシック"/>
        <family val="3"/>
      </rPr>
      <t>/</t>
    </r>
    <r>
      <rPr>
        <sz val="11"/>
        <rFont val="ＭＳ Ｐゴシック"/>
        <family val="3"/>
      </rPr>
      <t>07</t>
    </r>
  </si>
  <si>
    <t>　Version 1.37</t>
  </si>
  <si>
    <t>　・一部スキルで、複数補足時の合計分間ダメージを算出できるようにしました</t>
  </si>
  <si>
    <t>　・シャドーでメルエクスプロージョンを含めた分間ダメージを算出できるようにしました</t>
  </si>
  <si>
    <t>　・エヴァンでゴーストレタリング、キリングウィングを分間ダメージに組み込めるようにしました</t>
  </si>
  <si>
    <t>　・ヒーローでチャンスアタック時のダメージを算出できるようにしました</t>
  </si>
  <si>
    <t>・Web版の場合、使用チャージを選択するD18～D22のボタンが表示されていません</t>
  </si>
  <si>
    <t>火毒アークメイジ(毒弱点)</t>
  </si>
  <si>
    <t>パラディン(聖弱点)</t>
  </si>
  <si>
    <t>氷雷アークメイジ(雷弱点)</t>
  </si>
  <si>
    <t>アラン(氷弱点)</t>
  </si>
  <si>
    <t>キャプテン</t>
  </si>
  <si>
    <t>シャドー(暗殺)</t>
  </si>
  <si>
    <t>火毒アークメイジ(弱点なし)</t>
  </si>
  <si>
    <t>氷雷アークメイジ(弱点なし)</t>
  </si>
  <si>
    <t>パラディン(弱点なし)</t>
  </si>
  <si>
    <t>アラン(弱点なし)</t>
  </si>
  <si>
    <t>ダークナイト</t>
  </si>
  <si>
    <t>ナイトロード</t>
  </si>
  <si>
    <t>ビショップ(聖弱点)</t>
  </si>
  <si>
    <t>ビショップ(弱点なし)</t>
  </si>
  <si>
    <t>　そのため、聖(+雷)チャージを 1 火(+雷)チャージを 2  …　無属性を 5　とした数値を</t>
  </si>
  <si>
    <t>　D16(使用チャージと書かれている右のセル)に、半角で直接入力してください。</t>
  </si>
  <si>
    <t>10発合計</t>
  </si>
  <si>
    <t>トルネードスピン</t>
  </si>
  <si>
    <t>ミラーイメージング</t>
  </si>
  <si>
    <t>F/なし</t>
  </si>
  <si>
    <t>ダークインペール(仮)</t>
  </si>
  <si>
    <t>・ただしベノムは手裏剣の攻撃力が含まれません</t>
  </si>
  <si>
    <t>(MapleStory Ver.1.89時)</t>
  </si>
  <si>
    <t>・スピリットダークを使用しない場合は、手裏剣マスタリーの充填→クリティカル効果が適用</t>
  </si>
  <si>
    <t>・ドラゴンジャッジメントの能力は加算済み</t>
  </si>
  <si>
    <t>・ブレシングアーマーの攻撃力上昇は薬と重複可能</t>
  </si>
  <si>
    <t>・ドラゴンブラッドと薬の重複は不可</t>
  </si>
  <si>
    <t>･ファイナルアタックは硬直なしで射出　暴風時200発/分</t>
  </si>
  <si>
    <t>･ただしファイナルアタックには100切りが発生します</t>
  </si>
  <si>
    <t>ポイズンミスト</t>
  </si>
  <si>
    <t>コンポジション</t>
  </si>
  <si>
    <t>ポイズンブレス</t>
  </si>
  <si>
    <t>ポイズンブレス</t>
  </si>
  <si>
    <t>ポイズンミスト</t>
  </si>
  <si>
    <t>マジックコンポジション</t>
  </si>
  <si>
    <t>スキル硬直</t>
  </si>
  <si>
    <t>霧持続</t>
  </si>
  <si>
    <t>中毒確率</t>
  </si>
  <si>
    <t>ナムネス</t>
  </si>
  <si>
    <t>デーモン</t>
  </si>
  <si>
    <t>ミスト</t>
  </si>
  <si>
    <t>コンポジ</t>
  </si>
  <si>
    <t>ブレス</t>
  </si>
  <si>
    <t>ダメ*秒</t>
  </si>
  <si>
    <t>使用回数</t>
  </si>
  <si>
    <t>インフィニティ</t>
  </si>
  <si>
    <t>総追加ダメ</t>
  </si>
  <si>
    <t>ナムネス時</t>
  </si>
  <si>
    <t>デーモン時</t>
  </si>
  <si>
    <t>クァンタム時</t>
  </si>
  <si>
    <t>メインスキルからの損失ダメージ</t>
  </si>
  <si>
    <t>持続ダメージスキル組込</t>
  </si>
  <si>
    <t>-</t>
  </si>
  <si>
    <t>スキル,使用の有無</t>
  </si>
  <si>
    <t>スキルダメ</t>
  </si>
  <si>
    <t>持続ダメージのあるスキルを組み込む</t>
  </si>
  <si>
    <t>1回の硬直</t>
  </si>
  <si>
    <t>アイスデーモン組込</t>
  </si>
  <si>
    <t>・明鏡止水は薬と重複可能</t>
  </si>
  <si>
    <t>･ファイナルアタックは硬直なしで射出</t>
  </si>
  <si>
    <t>・アサルターは防御率無視</t>
  </si>
  <si>
    <t>・ベノムはボスにも効くため、常にかかっているものとし毒ダメージ*60を分間ダメージに追加</t>
  </si>
  <si>
    <t>・フェイタル、チェインヘルにミラーがかかった場合の最高攻撃回数は15回</t>
  </si>
  <si>
    <t>・ファイナルスラッシュ適用の場合、分間ダメージは(持続時間/待機時間)*効果　倍してます</t>
  </si>
  <si>
    <t>・インフィニティは0%～140%の平均を基にし</t>
  </si>
  <si>
    <t>　(持続時間/待機時間)*ダメージ平均　を分間ダメージに乗算させています</t>
  </si>
  <si>
    <t>・ダメージは全て、スタンしていない相手を想定してあります</t>
  </si>
  <si>
    <t>・コンボが100未満の時は攻撃力が変動するため、分間ダメージの算出ができません</t>
  </si>
  <si>
    <r>
      <t>　2010/1</t>
    </r>
    <r>
      <rPr>
        <sz val="11"/>
        <rFont val="ＭＳ Ｐゴシック"/>
        <family val="3"/>
      </rPr>
      <t>1</t>
    </r>
    <r>
      <rPr>
        <sz val="11"/>
        <rFont val="ＭＳ Ｐゴシック"/>
        <family val="3"/>
      </rPr>
      <t>/</t>
    </r>
    <r>
      <rPr>
        <sz val="11"/>
        <rFont val="ＭＳ Ｐゴシック"/>
        <family val="3"/>
      </rPr>
      <t>18</t>
    </r>
  </si>
  <si>
    <r>
      <t>　・ステータス入力部分の並び順を変更(旧：</t>
    </r>
    <r>
      <rPr>
        <sz val="11"/>
        <rFont val="ＭＳ Ｐゴシック"/>
        <family val="3"/>
      </rPr>
      <t>STR DEX LUK INT　→新：STR DEX INT LUK)</t>
    </r>
  </si>
  <si>
    <t>　・BIG BANGに伴う計算式、スキル能力の改変に対応しました</t>
  </si>
  <si>
    <r>
      <t>　・職業シートの並び順を変更(旧：…パラディン　弩　弓　…→新：…パラディン　弓　弩　…</t>
    </r>
    <r>
      <rPr>
        <sz val="11"/>
        <rFont val="ＭＳ Ｐゴシック"/>
        <family val="3"/>
      </rPr>
      <t>)</t>
    </r>
  </si>
  <si>
    <t>　Version 1.28</t>
  </si>
  <si>
    <t>　　　　　ボウマスター　クロスボウマスター　アークメイジ　ビショップ　エヴァンのスキル全般</t>
  </si>
  <si>
    <t>　　　　　シャドー　：暗殺</t>
  </si>
  <si>
    <t>　　　　　アラン　　　：ダブルスイング、トリプルスイング、ファイナルブロー</t>
  </si>
  <si>
    <t>　　　　※ただしキャプテンはホーミング、エヴァンはキリングウィングの使用によりこれを防げる</t>
  </si>
  <si>
    <t>　エヴァン</t>
  </si>
  <si>
    <r>
      <t>　　・マジックレジスタンス(大</t>
    </r>
    <r>
      <rPr>
        <sz val="11"/>
        <rFont val="ＭＳ Ｐゴシック"/>
        <family val="3"/>
      </rPr>
      <t>)</t>
    </r>
  </si>
  <si>
    <t>イフリート召喚あり</t>
  </si>
  <si>
    <t>エルクィネス召喚</t>
  </si>
  <si>
    <t>鎧下</t>
  </si>
  <si>
    <t>全身</t>
  </si>
  <si>
    <t>基本ダメージ率</t>
  </si>
  <si>
    <t>最大カウント時</t>
  </si>
  <si>
    <t>主な武器の速度一覧</t>
  </si>
  <si>
    <t>速度7(やや遅い)＝バタフライ　ドラゴンタスク　殲滅刀　等</t>
  </si>
  <si>
    <t>速度8(やや遅い)＝斬馬刀</t>
  </si>
  <si>
    <t>速度6(普通)＝クレイモア等両手剣全般　片手鈍器全般　クロム</t>
  </si>
  <si>
    <t>･クリティカルのダメージに、コンボ・インレイジの効果は乗りません</t>
  </si>
  <si>
    <t>・ブレストでボス相手に一段でもクリティカルが発生すると、残りの段は必ずクリティカル</t>
  </si>
  <si>
    <t>・ダークインペールは未実装のスキルです。攻撃回数等は参考程度にお考えください</t>
  </si>
  <si>
    <t>・シャドーパートナーのダメージ率は、ダメージ上昇系の効果により上昇します</t>
  </si>
  <si>
    <t>・トリプルスローの防御率無視効果は全スキルに適用され、トリプル自体には重複します</t>
  </si>
  <si>
    <t>・トリプルスローの計算式は特殊なものでなくなりました</t>
  </si>
  <si>
    <t>・ルネサンスアップデート以降、短剣・ブレイドによる攻撃力分散はなくなりました</t>
  </si>
  <si>
    <t>・ミラーイメージングのダメージ率は、ダメージ上昇系の効果により上昇します</t>
  </si>
  <si>
    <t>速度7(やや遅い)＝クロム以外の両手鈍器　殲滅刀　等</t>
  </si>
  <si>
    <t>ファミ</t>
  </si>
  <si>
    <t>ファミ</t>
  </si>
  <si>
    <t>ダークインペール</t>
  </si>
  <si>
    <t>速度3(早い)＝フュージョンメイス　世界の豚図鑑</t>
  </si>
  <si>
    <t>　2008/03/17</t>
  </si>
  <si>
    <t>　Version 1.03</t>
  </si>
  <si>
    <t>　・ヒーローにシャープアイズを適用できるようになりました</t>
  </si>
  <si>
    <t>　・ボウマスター・クロスボウマスターのエキスパートで攻撃力が上昇しなかったバグを修正</t>
  </si>
  <si>
    <t>　・軽量化のため、HIT(命中)・MOVE(移動速度)・JUMP(ジャンプ力)欄を削除</t>
  </si>
  <si>
    <t>　・ヒーロー・パラディン・ダークナイトに、主な武器の攻撃速度一覧を追加</t>
  </si>
  <si>
    <t>一分あたりのダメージ(耐性時)</t>
  </si>
  <si>
    <t>クリティカル</t>
  </si>
  <si>
    <t>合計期待値</t>
  </si>
  <si>
    <t>Lv</t>
  </si>
  <si>
    <t>単体</t>
  </si>
  <si>
    <t>　2008/03/18</t>
  </si>
  <si>
    <t>　Version 1.04</t>
  </si>
  <si>
    <t>　・魔法使い3種にシャープアイズを適用できるようになりました</t>
  </si>
  <si>
    <t>　･仮計算式ですがダークナイトにシャープアイズを適用できるようになりました</t>
  </si>
  <si>
    <t>　・全職のLv、ステータスをある程度統一しました</t>
  </si>
  <si>
    <t>敵の防御力</t>
  </si>
  <si>
    <r>
      <t>敵のL</t>
    </r>
    <r>
      <rPr>
        <sz val="11"/>
        <rFont val="ＭＳ Ｐゴシック"/>
        <family val="3"/>
      </rPr>
      <t>v</t>
    </r>
  </si>
  <si>
    <t>Lv差(0未満なら0</t>
  </si>
  <si>
    <t>攻撃力(防御修正処理後）</t>
  </si>
  <si>
    <t>通常</t>
  </si>
  <si>
    <t>最小</t>
  </si>
  <si>
    <t>クリティカル</t>
  </si>
  <si>
    <t>期待値</t>
  </si>
  <si>
    <t>平均</t>
  </si>
  <si>
    <t>最大</t>
  </si>
  <si>
    <t>AVE</t>
  </si>
  <si>
    <t>　2008/03/21</t>
  </si>
  <si>
    <t>　Version 1.05</t>
  </si>
  <si>
    <t>　・ダークナイトのシャープアイズ計算式を正確なものに変更</t>
  </si>
  <si>
    <t>　・物理防御力・魔法防御力・Lv補正を計算できるようになりました</t>
  </si>
  <si>
    <t>命中</t>
  </si>
  <si>
    <t>・聖チャージの弱点補正は「1.22+スキルLV*0.014」</t>
  </si>
  <si>
    <t>・火・氷・雷チャージの弱点補正は「1.02+スキルLV*0.016」</t>
  </si>
  <si>
    <t>　Version 1.06</t>
  </si>
  <si>
    <t>　2008/04/01</t>
  </si>
  <si>
    <t>ダークフォグ</t>
  </si>
  <si>
    <t>　・要望があったため命中率欄を復活</t>
  </si>
  <si>
    <t>　・ダークナイト・バーサク時バスター・一分あたりのダメージが間違っていたのを修正</t>
  </si>
  <si>
    <t>　・パラディン・聖チャージ弱点補正を正確なものに修正</t>
  </si>
  <si>
    <t>　・パラディン・ブレストが防御無視計算してしまっていたので防御力減算を適用</t>
  </si>
  <si>
    <t>　Version 1.07</t>
  </si>
  <si>
    <t>　・パラディン・ブレストが二重に表示されてたのを修正</t>
  </si>
  <si>
    <r>
      <t>　･攻撃力(防御修正処理後</t>
    </r>
    <r>
      <rPr>
        <sz val="11"/>
        <rFont val="ＭＳ Ｐゴシック"/>
        <family val="3"/>
      </rPr>
      <t>)が、マイナスになる場合1になるように変更</t>
    </r>
  </si>
  <si>
    <t>防御力％無視</t>
  </si>
  <si>
    <t>スナイピング</t>
  </si>
  <si>
    <t>スナイピング</t>
  </si>
  <si>
    <t>再使用待機時間</t>
  </si>
  <si>
    <t>一分に</t>
  </si>
  <si>
    <t>回可能</t>
  </si>
  <si>
    <t>ストレイフ・スナイピング使用時の</t>
  </si>
  <si>
    <t>敵の回避率</t>
  </si>
  <si>
    <t>命中率</t>
  </si>
  <si>
    <t>必中命中率</t>
  </si>
  <si>
    <t>片手剣</t>
  </si>
  <si>
    <t>クァンタムエクスプロージョン</t>
  </si>
  <si>
    <t>クァンタム</t>
  </si>
  <si>
    <t>チェーンヘル</t>
  </si>
  <si>
    <t>ビーストフォーム</t>
  </si>
  <si>
    <t>ソニックブラスト</t>
  </si>
  <si>
    <t>ワイルドショット</t>
  </si>
  <si>
    <t>ボムショット</t>
  </si>
  <si>
    <t>フラッシュレイン</t>
  </si>
  <si>
    <t>矢　単発</t>
  </si>
  <si>
    <t>爆発</t>
  </si>
  <si>
    <t>C.テンペスト</t>
  </si>
  <si>
    <t>C.ジャッジメント</t>
  </si>
  <si>
    <t>クリティカル確率100%</t>
  </si>
  <si>
    <t>スウィフト</t>
  </si>
  <si>
    <t>ファイナルトス</t>
  </si>
  <si>
    <t>ファミ</t>
  </si>
  <si>
    <t>ドラゴンスパーキング</t>
  </si>
  <si>
    <t>フレイムホイール</t>
  </si>
  <si>
    <t>キリングウィング</t>
  </si>
  <si>
    <t>・キリングウィング、ゴーストレタリング、ダークフォグは闇属性を持っています</t>
  </si>
  <si>
    <t>・マジックフューリーは、ダメージでなく魔力が増えます</t>
  </si>
  <si>
    <t>　2010/08/19</t>
  </si>
  <si>
    <t>　Version 1.25</t>
  </si>
  <si>
    <t>(MapleStory Ver.1.84時)</t>
  </si>
  <si>
    <t>　・デュアルブレイドのダメージ計算式修正</t>
  </si>
  <si>
    <t>　・エヴァンにキリングウィング、ゴーストレタリング、属性別フリースキル追加</t>
  </si>
  <si>
    <t>　・エヴァン、デュアルの攻撃スキルの分間攻撃回数修正</t>
  </si>
  <si>
    <t>溜め時間</t>
  </si>
  <si>
    <t>・スナイピングは例)3分に1発なら、ダメージの1/3を一分あたりのダメージに追加しています</t>
  </si>
  <si>
    <t>ミサイルタンク</t>
  </si>
  <si>
    <t>レーザーブレスト</t>
  </si>
  <si>
    <t>エクストリーム</t>
  </si>
  <si>
    <t>ミサイルタンク：通常攻撃</t>
  </si>
  <si>
    <t>5秒あたりのダメージ</t>
  </si>
  <si>
    <t>射出数/5秒</t>
  </si>
  <si>
    <t>・スナイピングを撃った分、ストレイフの発射数は引かれています</t>
  </si>
  <si>
    <t>　2008/06/09</t>
  </si>
  <si>
    <t>　・命中率欄を全職に復活</t>
  </si>
  <si>
    <r>
      <t>　・命中率計算を追加　命中率が1</t>
    </r>
    <r>
      <rPr>
        <sz val="11"/>
        <rFont val="ＭＳ Ｐゴシック"/>
        <family val="3"/>
      </rPr>
      <t>00%に満たない場合、分間ダメージが命中率に合わせて減少します</t>
    </r>
  </si>
  <si>
    <t>　・魔法使い3職にクァンタムエクスプロージョンを追加　ただし最大チャージ時のみ</t>
  </si>
  <si>
    <t>　・クロスボウマスターにスナイピングを追加</t>
  </si>
  <si>
    <r>
      <t>　・振れるA</t>
    </r>
    <r>
      <rPr>
        <sz val="11"/>
        <rFont val="ＭＳ Ｐゴシック"/>
        <family val="3"/>
      </rPr>
      <t>P　欄の不具合を修正</t>
    </r>
  </si>
  <si>
    <t>　MAIL</t>
  </si>
  <si>
    <t>f2d_10l@hotmail.com</t>
  </si>
  <si>
    <t>STR</t>
  </si>
  <si>
    <t>DEX</t>
  </si>
  <si>
    <t>スラッシュ</t>
  </si>
  <si>
    <t>適用する</t>
  </si>
  <si>
    <t>速度4(やや早い)＝グレイヴ(片手剣)　妖刀　赤い鞭　ライトウィップ　日本列島　77M片手剣　等</t>
  </si>
  <si>
    <t>速度5(やや早い)＝エクセキューショナーズ等片手剣全般　砕骨刀 浮き輪　等</t>
  </si>
  <si>
    <t>速度8(やや遅い)＝ディエスイレ等鉾全般　スペハン</t>
  </si>
  <si>
    <t>クロスロード</t>
  </si>
  <si>
    <r>
      <t>　　・コンバットオーダー(中</t>
    </r>
    <r>
      <rPr>
        <sz val="11"/>
        <rFont val="ＭＳ Ｐゴシック"/>
        <family val="3"/>
      </rPr>
      <t>)</t>
    </r>
  </si>
  <si>
    <r>
      <t>　　・ドラゴンブラッド(小</t>
    </r>
    <r>
      <rPr>
        <sz val="11"/>
        <rFont val="ＭＳ Ｐゴシック"/>
        <family val="3"/>
      </rPr>
      <t>)</t>
    </r>
  </si>
  <si>
    <r>
      <t>　　・ダークスピリット(小</t>
    </r>
    <r>
      <rPr>
        <sz val="11"/>
        <rFont val="ＭＳ Ｐゴシック"/>
        <family val="3"/>
      </rPr>
      <t>)</t>
    </r>
  </si>
  <si>
    <t>速度7(やや遅い)＝アルシュピス等槍全般　月牙刀　サーフボード(赤)　C.アークグレイヴ等</t>
  </si>
  <si>
    <t>速度5(やや早い)＝パンプキンスピア　釣竿　竹ヤリ　レッドデビル　43M槍</t>
  </si>
  <si>
    <t>速度6(普通)＝スキー板3種　蛇矛　サーフボード全般(除：赤)　スノーボード全般　64,77M槍</t>
  </si>
  <si>
    <t>ピクポケ率</t>
  </si>
  <si>
    <t>15個たまる</t>
  </si>
  <si>
    <t>分間セット数</t>
  </si>
  <si>
    <t>メルプロ+</t>
  </si>
  <si>
    <t>速度7(やや遅い)＝月牙刀　サーフボード(赤)　クリムゾンアークグレイヴ</t>
  </si>
  <si>
    <t>　2010/10/06</t>
  </si>
  <si>
    <t>　Version 1.27</t>
  </si>
  <si>
    <t>　・"潜在能力"関連の計算が可能になりました</t>
  </si>
  <si>
    <t>　・弓、弩、投にソンズエフェクト適用可能になりました</t>
  </si>
  <si>
    <t>　・パラディン、アランのクリティカル計算式修正</t>
  </si>
  <si>
    <t>　・チェーンヘル、フェイタルブローのミラーダメージ修正</t>
  </si>
  <si>
    <t>　・デュアルブレイドでファイナルスラッシュが適用可能になりました</t>
  </si>
  <si>
    <t>(MapleStory Ver.1.86時)</t>
  </si>
  <si>
    <t>1個当たり</t>
  </si>
  <si>
    <t>　・一部スキル・ステータスにダメージカンスト処理を施しました</t>
  </si>
  <si>
    <t>LUK</t>
  </si>
  <si>
    <t>INT</t>
  </si>
  <si>
    <t>キャプテン</t>
  </si>
  <si>
    <t>STR</t>
  </si>
  <si>
    <t>DEX</t>
  </si>
  <si>
    <t>LUK</t>
  </si>
  <si>
    <t>INT</t>
  </si>
  <si>
    <t>バイパー</t>
  </si>
  <si>
    <t>上昇値</t>
  </si>
  <si>
    <t>フィスト</t>
  </si>
  <si>
    <t>デモリション</t>
  </si>
  <si>
    <t>ラピッドファイア</t>
  </si>
  <si>
    <t>BSキャノン</t>
  </si>
  <si>
    <t>BSミサイル</t>
  </si>
  <si>
    <t>エアストライク</t>
  </si>
  <si>
    <t>Sオクトパス</t>
  </si>
  <si>
    <t>銃</t>
  </si>
  <si>
    <t>クリ最大</t>
  </si>
  <si>
    <t>･クロスロードの分間攻撃回数は45回</t>
  </si>
  <si>
    <t>･ボムショットの分間攻撃回数は83回</t>
  </si>
  <si>
    <t>･ボムショットのダメージ率は、1体貫通する毎に1.2倍されていきます</t>
  </si>
  <si>
    <t>・スナイピングはボス戦の場合、ダメ表示に関らず1,000,000固定ダメージです</t>
  </si>
  <si>
    <t>分間83回</t>
  </si>
  <si>
    <t>分間45回</t>
  </si>
  <si>
    <t>ガブアイオータ</t>
  </si>
  <si>
    <t>ブレッド</t>
  </si>
  <si>
    <t>持続時間</t>
  </si>
  <si>
    <t>バトルシップ</t>
  </si>
  <si>
    <t>待機時間</t>
  </si>
  <si>
    <t>アドバンスド</t>
  </si>
  <si>
    <t>ホーミング</t>
  </si>
  <si>
    <t>ダメージ上昇</t>
  </si>
  <si>
    <t>(シャドパ込)</t>
  </si>
  <si>
    <t>スナッチ</t>
  </si>
  <si>
    <t>ドラゴンストライク</t>
  </si>
  <si>
    <t>ショックウェイブ</t>
  </si>
  <si>
    <t>E.バスター</t>
  </si>
  <si>
    <t>E.オーブ</t>
  </si>
  <si>
    <t>トリプルスロー時の攻撃力</t>
  </si>
  <si>
    <t>　Version 1.34</t>
  </si>
  <si>
    <t>　・アンプリファイアが全職適用可能になりました</t>
  </si>
  <si>
    <t>　・ヒーローのクリティカル計算式を修正</t>
  </si>
  <si>
    <t>　・バトルメイジのダメージ計算式を修正</t>
  </si>
  <si>
    <r>
      <t>　2011/03/</t>
    </r>
    <r>
      <rPr>
        <sz val="11"/>
        <rFont val="ＭＳ Ｐゴシック"/>
        <family val="3"/>
      </rPr>
      <t>09</t>
    </r>
  </si>
  <si>
    <t>槍</t>
  </si>
  <si>
    <t>防御率減少</t>
  </si>
  <si>
    <r>
      <t>　2010</t>
    </r>
    <r>
      <rPr>
        <sz val="11"/>
        <rFont val="ＭＳ Ｐゴシック"/>
        <family val="3"/>
      </rPr>
      <t>/12/03</t>
    </r>
  </si>
  <si>
    <t>　Version 1.30</t>
  </si>
  <si>
    <t>(MapleStory Ver.1.87時)</t>
  </si>
  <si>
    <t>　・暗殺の累積時の分間ダメージを計算できるようにしました</t>
  </si>
  <si>
    <t>　・その他計算式、計算仕様の修正</t>
  </si>
  <si>
    <t>　・ダークナイトの鉾バスターと槍バスターの攻撃速度を修正</t>
  </si>
  <si>
    <t>　・メルエクスプロージョンのダメージ計算セルを追加</t>
  </si>
  <si>
    <t>E.ドレイン</t>
  </si>
  <si>
    <t>ドラゴンストライク</t>
  </si>
  <si>
    <t>エネルギーバスター</t>
  </si>
  <si>
    <t>エネルギードレイン</t>
  </si>
  <si>
    <t>回復率</t>
  </si>
  <si>
    <t>デモリション</t>
  </si>
  <si>
    <t>ショックウェイブ</t>
  </si>
  <si>
    <t>A.コンボ</t>
  </si>
  <si>
    <t>　全職業4次スキルを中心とした、各スキルのダメージや</t>
  </si>
  <si>
    <t>　それを元に</t>
  </si>
  <si>
    <t>1体補足</t>
  </si>
  <si>
    <t>2体補足</t>
  </si>
  <si>
    <t>3体補足</t>
  </si>
  <si>
    <t>4体補足</t>
  </si>
  <si>
    <t>※複数に当てられる全てのスキルを○体に当てた場合のダメージです</t>
  </si>
  <si>
    <r>
      <t>　名前は音楽用語のB</t>
    </r>
    <r>
      <rPr>
        <sz val="11"/>
        <rFont val="ＭＳ Ｐゴシック"/>
        <family val="3"/>
      </rPr>
      <t>PM(BeatPerMinute)を捩って適当につけました。</t>
    </r>
  </si>
  <si>
    <r>
      <t>　　・ブラッドドレイン(小</t>
    </r>
    <r>
      <rPr>
        <sz val="11"/>
        <rFont val="ＭＳ Ｐゴシック"/>
        <family val="3"/>
      </rPr>
      <t>)</t>
    </r>
  </si>
  <si>
    <r>
      <t>　　・テレポマスタリー(小</t>
    </r>
    <r>
      <rPr>
        <sz val="11"/>
        <rFont val="ＭＳ Ｐゴシック"/>
        <family val="3"/>
      </rPr>
      <t>)</t>
    </r>
  </si>
  <si>
    <r>
      <t>　　・コンバージョン(なし</t>
    </r>
    <r>
      <rPr>
        <sz val="11"/>
        <rFont val="ＭＳ Ｐゴシック"/>
        <family val="3"/>
      </rPr>
      <t>)</t>
    </r>
  </si>
  <si>
    <r>
      <t>　　・オーラ(なし</t>
    </r>
    <r>
      <rPr>
        <sz val="11"/>
        <rFont val="ＭＳ Ｐゴシック"/>
        <family val="3"/>
      </rPr>
      <t>)</t>
    </r>
  </si>
  <si>
    <t>　　・シャドーパートナー（大)</t>
  </si>
  <si>
    <t>　　・ブースター(小）</t>
  </si>
  <si>
    <r>
      <t>　　・スノーチャージ(小</t>
    </r>
    <r>
      <rPr>
        <sz val="11"/>
        <rFont val="ＭＳ Ｐゴシック"/>
        <family val="3"/>
      </rPr>
      <t>)</t>
    </r>
  </si>
  <si>
    <r>
      <t>　　・スマートノックバック(中</t>
    </r>
    <r>
      <rPr>
        <sz val="11"/>
        <rFont val="ＭＳ Ｐゴシック"/>
        <family val="3"/>
      </rPr>
      <t>)</t>
    </r>
  </si>
  <si>
    <r>
      <t>　　・フリーズスタンディング(中</t>
    </r>
    <r>
      <rPr>
        <sz val="11"/>
        <rFont val="ＭＳ Ｐゴシック"/>
        <family val="3"/>
      </rPr>
      <t>)</t>
    </r>
  </si>
  <si>
    <t>　計算したい職業の名前が書かれたシート(左下部にあります)を開き、</t>
  </si>
  <si>
    <t>　薬欄はタコ焼き・丸薬等全てを合わせて入力</t>
  </si>
  <si>
    <t>　技能欄のSTR,DEX,INT,LUKはMH使用時の上昇値が表示されます。</t>
  </si>
  <si>
    <t>　他箇所にはプログレスの命中上昇値や、ブレイブ・ドラゴンブラッド等の上昇値を入力してください。</t>
  </si>
  <si>
    <t>　計算結果のコピーや、スクリーンショットなどをブログ等に載せるときは</t>
  </si>
  <si>
    <t>　スキル追加などの要望、その他意見・感想などや</t>
  </si>
  <si>
    <t>・ロボットを召喚した硬直の分、使用スキルの発射数は引かれています</t>
  </si>
  <si>
    <t>　あくまで一分間その行動をとり続けた場合の数値なので、</t>
  </si>
  <si>
    <t>　実際にその通りのダメージが出るわけではありません。</t>
  </si>
  <si>
    <t>　右半分に計算結果が表示されます。</t>
  </si>
  <si>
    <t>　2008/10/01</t>
  </si>
  <si>
    <t>　Version 1.08</t>
  </si>
  <si>
    <t>　・海賊(バイパー・キャプテン)の計算シートを仮追加</t>
  </si>
  <si>
    <t>　・バトルメイジの分間攻撃回数を修正</t>
  </si>
  <si>
    <t>　・全職業にウィンドブースター適用可能になりました</t>
  </si>
  <si>
    <t>　・英雄のコダマを形だけ追加(計算結果に適用されません)</t>
  </si>
  <si>
    <t>　入力箇所はほとんど左半分のみです。</t>
  </si>
  <si>
    <t>■初期値について</t>
  </si>
  <si>
    <t>　ステータス</t>
  </si>
  <si>
    <t>　Lv</t>
  </si>
  <si>
    <t>　装備(防具)</t>
  </si>
  <si>
    <t>　装備(武器)</t>
  </si>
  <si>
    <t>だいたい主力スキルの揃う150Lvに設定。</t>
  </si>
  <si>
    <t>サベジ</t>
  </si>
  <si>
    <t>BS+サベ</t>
  </si>
  <si>
    <t>BS+シブズ</t>
  </si>
  <si>
    <t>分間に組込み</t>
  </si>
  <si>
    <t>闇属性弱点</t>
  </si>
  <si>
    <t>総硬直</t>
  </si>
  <si>
    <t>ブラッディストーム</t>
  </si>
  <si>
    <t>・武器属性 欄には「毒」「火」「雷」「氷」のいずれかを入力</t>
  </si>
  <si>
    <t>・「毒」「火」「雷」「氷」以外を入力すると(何も入力しなければ)無属性とされます</t>
  </si>
  <si>
    <t>強化にかかる費用を多少考慮し、強化の度合は武器や職によって異なってます</t>
  </si>
  <si>
    <t>　スキル</t>
  </si>
  <si>
    <t>　敵防御力等</t>
  </si>
  <si>
    <t>VSビシャスプラントを想定した数値。</t>
  </si>
  <si>
    <t>　白紙の状態から入力するのは面倒そうなので、</t>
  </si>
  <si>
    <t>　ダウンロード時から、各所に適当な数値が入力してあります。</t>
  </si>
  <si>
    <t>　この数値を参考にして、自分のステータスや好きなステータスを上書きしていってください。</t>
  </si>
  <si>
    <t>　一応、初期値の参考に</t>
  </si>
  <si>
    <t>・ラピッドファイアの射出数は攻撃速度に依存しないとし、500発/分で統一</t>
  </si>
  <si>
    <t>ラッシュ</t>
  </si>
  <si>
    <t>ラッシュ</t>
  </si>
  <si>
    <t>弱点単発</t>
  </si>
  <si>
    <t>フラッシュレイン</t>
  </si>
  <si>
    <t>フォーム使用</t>
  </si>
  <si>
    <t>・クリティカルマジックの効果は、クリティカル計算部の総計に加算されています</t>
  </si>
  <si>
    <t>キリング</t>
  </si>
  <si>
    <t>レタリング</t>
  </si>
  <si>
    <t>ゴーストレタリング</t>
  </si>
  <si>
    <t>一分あたりのダメージ(FA込)</t>
  </si>
  <si>
    <t>通常最高</t>
  </si>
  <si>
    <t>クリ最小</t>
  </si>
  <si>
    <t>クリ平均</t>
  </si>
  <si>
    <t>クリ最高</t>
  </si>
  <si>
    <t>敵の防御率</t>
  </si>
  <si>
    <t>通るダメージ</t>
  </si>
  <si>
    <t>潜在能力</t>
  </si>
  <si>
    <t>攻撃力+%</t>
  </si>
  <si>
    <t>LUK％</t>
  </si>
  <si>
    <t>INT％</t>
  </si>
  <si>
    <t>DEX％</t>
  </si>
  <si>
    <t>STR％</t>
  </si>
  <si>
    <t>命中%</t>
  </si>
  <si>
    <t>英雄のコダマ</t>
  </si>
  <si>
    <t>英雄エコー</t>
  </si>
  <si>
    <t>ブーメランステップ</t>
  </si>
  <si>
    <t>ファイナルスラッシュ</t>
  </si>
  <si>
    <t>のダメージ上昇を</t>
  </si>
  <si>
    <t>ファイナルブロー</t>
  </si>
  <si>
    <t>クエイク</t>
  </si>
  <si>
    <t>コンボ込み</t>
  </si>
  <si>
    <t>アローレイン</t>
  </si>
  <si>
    <t>アローイラプション</t>
  </si>
  <si>
    <t>ペット</t>
  </si>
  <si>
    <t>アヴェンジャー</t>
  </si>
  <si>
    <t>A.チャージ</t>
  </si>
  <si>
    <t>ラッシュ</t>
  </si>
  <si>
    <t xml:space="preserve">　主に対ボス用の参考としてや、 </t>
  </si>
  <si>
    <t>エヴァン(ブレイズ　弱点なし)</t>
  </si>
  <si>
    <t>　自分のステータス管理、こんな装備をしたらどんなステになるだろう等の遊びなどにも使えるかもです。</t>
  </si>
  <si>
    <r>
      <t>　2</t>
    </r>
    <r>
      <rPr>
        <sz val="11"/>
        <rFont val="ＭＳ Ｐゴシック"/>
        <family val="3"/>
      </rPr>
      <t>010/09/10</t>
    </r>
  </si>
  <si>
    <t>ラピッドフィスト</t>
  </si>
  <si>
    <t>・分間ダメージ計算の箇所はスキル名を略してありますが察してください</t>
  </si>
  <si>
    <t>バックエルボー</t>
  </si>
  <si>
    <t>バックエルボー</t>
  </si>
  <si>
    <t>パンチ</t>
  </si>
  <si>
    <t>パンチ</t>
  </si>
  <si>
    <t>溜め時間最大時</t>
  </si>
  <si>
    <t>アッパー</t>
  </si>
  <si>
    <t>ダブルアッパー</t>
  </si>
  <si>
    <t>エナジーオーブ(一体目)</t>
  </si>
  <si>
    <t>弱点最小</t>
  </si>
  <si>
    <t>弱点平均</t>
  </si>
  <si>
    <t>弱点最大</t>
  </si>
  <si>
    <t>Lv</t>
  </si>
  <si>
    <t>クリティカル</t>
  </si>
  <si>
    <t>期待値</t>
  </si>
  <si>
    <t>ベルト</t>
  </si>
  <si>
    <t>エキスパート</t>
  </si>
  <si>
    <t>MH</t>
  </si>
  <si>
    <t>スキル</t>
  </si>
  <si>
    <t>スキルLv</t>
  </si>
  <si>
    <t>シャープ</t>
  </si>
  <si>
    <t>使用チャージ</t>
  </si>
  <si>
    <t>プレッシャー</t>
  </si>
  <si>
    <t>P.シャープ</t>
  </si>
  <si>
    <t>フリースキル</t>
  </si>
  <si>
    <t>クリティカルスキルLv</t>
  </si>
  <si>
    <t>ワイルドハンター</t>
  </si>
  <si>
    <t>ファントムブロウ時</t>
  </si>
  <si>
    <t>実際の攻撃力</t>
  </si>
  <si>
    <t>バルカン</t>
  </si>
  <si>
    <t>ワイルド</t>
  </si>
  <si>
    <t>インスティンクト</t>
  </si>
  <si>
    <t>シャドーパートナー</t>
  </si>
  <si>
    <t>※バルカン30秒ほどでFAが100切りを起こすため、アクションを挟む必要があります。1分間FA込みで打ち続けることは出来ないのでご注意を</t>
  </si>
  <si>
    <t>ワイルドバルカン</t>
  </si>
  <si>
    <t>防御率減少</t>
  </si>
  <si>
    <t>通常最小</t>
  </si>
  <si>
    <t>通常平均</t>
  </si>
  <si>
    <t>通常最大</t>
  </si>
  <si>
    <t>耐性最小</t>
  </si>
  <si>
    <t>耐性平均</t>
  </si>
  <si>
    <t>サテライト使用</t>
  </si>
  <si>
    <t>耐性最大</t>
  </si>
  <si>
    <t>分間召喚数</t>
  </si>
  <si>
    <t>スキルの属性</t>
  </si>
  <si>
    <t>5：ダメージ上昇</t>
  </si>
  <si>
    <t>4：クリティカル率上昇</t>
  </si>
  <si>
    <t>適用</t>
  </si>
  <si>
    <t>ラッキーダイス</t>
  </si>
  <si>
    <t>スーパートランス</t>
  </si>
  <si>
    <t>8発合計</t>
  </si>
  <si>
    <t>6発合計</t>
  </si>
  <si>
    <t>デモリション以外の分間ダメージの算出はここで行ってください</t>
  </si>
  <si>
    <t>2発合計</t>
  </si>
  <si>
    <t>アットレビュート</t>
  </si>
  <si>
    <t>ファイアバ-ナ-</t>
  </si>
  <si>
    <t>持続ダメ</t>
  </si>
  <si>
    <t>(5秒+1～3秒されているため)</t>
  </si>
  <si>
    <t>通常単発</t>
  </si>
  <si>
    <t>期待値</t>
  </si>
  <si>
    <t>オ-バ-スイング</t>
  </si>
  <si>
    <t>分間攻撃回数</t>
  </si>
  <si>
    <t>フィスト</t>
  </si>
  <si>
    <t>オーブ</t>
  </si>
  <si>
    <t>2体捕捉</t>
  </si>
  <si>
    <t>3体捕捉</t>
  </si>
  <si>
    <t>4体捕捉</t>
  </si>
  <si>
    <t>5体捕捉</t>
  </si>
  <si>
    <t>6体捕捉</t>
  </si>
  <si>
    <t>フィスト→オーブ</t>
  </si>
  <si>
    <t>フィスト→ドラスト</t>
  </si>
  <si>
    <t>-</t>
  </si>
  <si>
    <t>複数捕捉時との比較(分間ダメージ率)</t>
  </si>
  <si>
    <t>氷耐性時</t>
  </si>
  <si>
    <t>氷通常時</t>
  </si>
  <si>
    <t>氷弱点時</t>
  </si>
  <si>
    <t>バハムート</t>
  </si>
  <si>
    <t>MOB形態　特攻効果</t>
  </si>
  <si>
    <t>発生</t>
  </si>
  <si>
    <t>バハムートを召喚する場合</t>
  </si>
  <si>
    <t>聖弱点時</t>
  </si>
  <si>
    <t>聖通常時</t>
  </si>
  <si>
    <t>聖耐性時</t>
  </si>
  <si>
    <t>フェニックス</t>
  </si>
  <si>
    <t>クリダメ最小</t>
  </si>
  <si>
    <t>防御無視</t>
  </si>
  <si>
    <t>コンバット</t>
  </si>
  <si>
    <t>マスタリー</t>
  </si>
  <si>
    <t>インレイジ</t>
  </si>
  <si>
    <t>←変更可能</t>
  </si>
  <si>
    <t>・テレポートマスタリーの最大分間回数は98回</t>
  </si>
  <si>
    <t>・テレポートマスタリの分間使用回数は自分で変更可能です</t>
  </si>
  <si>
    <t>使用する</t>
  </si>
  <si>
    <t>ダメージ増加</t>
  </si>
  <si>
    <t>フリズベルク</t>
  </si>
  <si>
    <t>フリズベルク</t>
  </si>
  <si>
    <t>消滅までに与える</t>
  </si>
  <si>
    <t>ダメージ</t>
  </si>
  <si>
    <t>・オクトパスの待機時間は10~15秒でランダムのため15秒とします</t>
  </si>
  <si>
    <t>ブーメランステップ</t>
  </si>
  <si>
    <t>最大累積</t>
  </si>
  <si>
    <t>経過秒数</t>
  </si>
  <si>
    <t>ファイナルアタック</t>
  </si>
  <si>
    <t>ファイナル</t>
  </si>
  <si>
    <t>シーブズ</t>
  </si>
  <si>
    <t>補足数</t>
  </si>
  <si>
    <t>サベッジスタブ</t>
  </si>
  <si>
    <t>フライングアサルター</t>
  </si>
  <si>
    <t>オクトパス召喚あり</t>
  </si>
  <si>
    <t>ラピッドファイア+</t>
  </si>
  <si>
    <t>バトルシップキャノン+</t>
  </si>
  <si>
    <t>期待値</t>
  </si>
  <si>
    <t>アドバンスドLv</t>
  </si>
  <si>
    <t>手裏剣マスタリ</t>
  </si>
  <si>
    <t>アサルター</t>
  </si>
  <si>
    <t>シーブズ</t>
  </si>
  <si>
    <t>サベッジスタブ</t>
  </si>
  <si>
    <t>メルエクスプロージョン</t>
  </si>
  <si>
    <t>グリッド</t>
  </si>
  <si>
    <t>メルプロ</t>
  </si>
  <si>
    <t>爆破個数</t>
  </si>
  <si>
    <t>暗殺FAなし</t>
  </si>
  <si>
    <t>暗殺FAあり</t>
  </si>
  <si>
    <t>暴風の矢</t>
  </si>
  <si>
    <t>火耐性時</t>
  </si>
  <si>
    <t>火通常時</t>
  </si>
  <si>
    <t>火弱点時</t>
  </si>
  <si>
    <t>暴風の矢+フェニックス召喚あり</t>
  </si>
  <si>
    <t>3発合計</t>
  </si>
  <si>
    <t>トリプルファイア+</t>
  </si>
  <si>
    <t>・オクトパスを召喚した硬直の分、ラピッド・キャノン等の発射数は引かれています</t>
  </si>
  <si>
    <t>ガビオタ召喚あり</t>
  </si>
  <si>
    <t>ガビオタ召喚+</t>
  </si>
  <si>
    <t>ガビオタ召喚+</t>
  </si>
  <si>
    <t>ファイナルアタック</t>
  </si>
  <si>
    <t>･尖晶の矢等の矢を所持している場合でも、ソウルアローを使用すれば攻撃力は増加しません</t>
  </si>
  <si>
    <t>・暗殺の最初の三発には、SEがあれどもクリティカルは発生しません</t>
  </si>
  <si>
    <t>・暗殺使用前のダークサイトの時間は、T16に入力できます</t>
  </si>
  <si>
    <t>・パンチ(タメなし)の計算式はよくわかりませんが、体感で最大の25%の値になってます</t>
  </si>
  <si>
    <t>・WB1は振ってあるだろうと言うことでWB0の場合の攻撃速度はありません</t>
  </si>
  <si>
    <t>サクリファイス</t>
  </si>
  <si>
    <t>反撃待機</t>
  </si>
  <si>
    <t>・ガブアイオータの待機時間は5~10秒でランダムのため10秒とします</t>
  </si>
  <si>
    <t>・オクトパスは召喚してから消えるまでに与えるダメージをひとかたまりとし、</t>
  </si>
  <si>
    <t>　召喚した時点でそのダメージを追加してあります</t>
  </si>
  <si>
    <t>･ガニアのみ速度が6(普通)ですが使わないだろうと言うことで速度6は計算できません</t>
  </si>
  <si>
    <t>薬･他</t>
  </si>
  <si>
    <t>　2009/01/06</t>
  </si>
  <si>
    <t>　Version 1.09</t>
  </si>
  <si>
    <t>　・英雄のコダマが適用可能になりました</t>
  </si>
  <si>
    <t>　・イフリートやフェニックス等の召喚スキルのダメージが計算可能になりました</t>
  </si>
  <si>
    <r>
      <t>　・海賊(バイパー・キャプテン</t>
    </r>
    <r>
      <rPr>
        <sz val="11"/>
        <rFont val="ＭＳ Ｐゴシック"/>
        <family val="3"/>
      </rPr>
      <t>)の分間ダメージが計算可能になりました</t>
    </r>
  </si>
  <si>
    <t>　・召喚スキルを使用する場合の分間ダメージが計算可能になりました</t>
  </si>
  <si>
    <r>
      <t>　・ダメージを計算できるスキルを結構増やしました(範囲攻撃等</t>
    </r>
    <r>
      <rPr>
        <sz val="11"/>
        <rFont val="ＭＳ Ｐゴシック"/>
        <family val="3"/>
      </rPr>
      <t>)</t>
    </r>
  </si>
  <si>
    <r>
      <t>　　・ブースター(小</t>
    </r>
    <r>
      <rPr>
        <sz val="11"/>
        <rFont val="ＭＳ Ｐゴシック"/>
        <family val="3"/>
      </rPr>
      <t>)</t>
    </r>
  </si>
  <si>
    <r>
      <t>　　・スタンス(中</t>
    </r>
    <r>
      <rPr>
        <sz val="11"/>
        <rFont val="ＭＳ Ｐゴシック"/>
        <family val="3"/>
      </rPr>
      <t>)</t>
    </r>
  </si>
  <si>
    <r>
      <t>　　・パワーガード(小</t>
    </r>
    <r>
      <rPr>
        <sz val="11"/>
        <rFont val="ＭＳ Ｐゴシック"/>
        <family val="3"/>
      </rPr>
      <t>)</t>
    </r>
  </si>
  <si>
    <t>デュアルブレイド</t>
  </si>
  <si>
    <t>　ヒーロー</t>
  </si>
  <si>
    <t>　パラディン</t>
  </si>
  <si>
    <r>
      <t>　　・ハイパーボディ(小</t>
    </r>
    <r>
      <rPr>
        <sz val="11"/>
        <rFont val="ＭＳ Ｐゴシック"/>
        <family val="3"/>
      </rPr>
      <t>)</t>
    </r>
  </si>
  <si>
    <t>　　・パワーガード(小)</t>
  </si>
  <si>
    <t>　　・コンボアタック(中)</t>
  </si>
  <si>
    <t>　　・各種チャージ(中)</t>
  </si>
  <si>
    <t>　ボウマスター</t>
  </si>
  <si>
    <t>　クロスボウマスター</t>
  </si>
  <si>
    <t>　ダークナイト</t>
  </si>
  <si>
    <t>　　・ブースター(小)</t>
  </si>
  <si>
    <t>　アークメイジ</t>
  </si>
  <si>
    <r>
      <t>　　・ブースター(大</t>
    </r>
    <r>
      <rPr>
        <sz val="11"/>
        <rFont val="ＭＳ Ｐゴシック"/>
        <family val="3"/>
      </rPr>
      <t>)</t>
    </r>
  </si>
  <si>
    <r>
      <t>　　・マジックガード(小</t>
    </r>
    <r>
      <rPr>
        <sz val="11"/>
        <rFont val="ＭＳ Ｐゴシック"/>
        <family val="3"/>
      </rPr>
      <t>)</t>
    </r>
  </si>
  <si>
    <r>
      <t>　　・メディテーション(小</t>
    </r>
    <r>
      <rPr>
        <sz val="11"/>
        <rFont val="ＭＳ Ｐゴシック"/>
        <family val="3"/>
      </rPr>
      <t>)</t>
    </r>
  </si>
  <si>
    <t>　ビショップ</t>
  </si>
  <si>
    <r>
      <t>　　・ブレス(小</t>
    </r>
    <r>
      <rPr>
        <sz val="11"/>
        <rFont val="ＭＳ Ｐゴシック"/>
        <family val="3"/>
      </rPr>
      <t>)</t>
    </r>
  </si>
  <si>
    <r>
      <t>　　・ホーリーシンボル(大</t>
    </r>
    <r>
      <rPr>
        <sz val="11"/>
        <rFont val="ＭＳ Ｐゴシック"/>
        <family val="3"/>
      </rPr>
      <t>)</t>
    </r>
  </si>
  <si>
    <r>
      <t>　　・ガード(小</t>
    </r>
    <r>
      <rPr>
        <sz val="11"/>
        <rFont val="ＭＳ Ｐゴシック"/>
        <family val="3"/>
      </rPr>
      <t>)</t>
    </r>
  </si>
  <si>
    <r>
      <t>　　・マナリフレッション(中</t>
    </r>
    <r>
      <rPr>
        <sz val="11"/>
        <rFont val="ＭＳ Ｐゴシック"/>
        <family val="3"/>
      </rPr>
      <t>)</t>
    </r>
  </si>
  <si>
    <t>http://f2d10l.blog137.fc2.com/</t>
  </si>
  <si>
    <t>　　・マナリフレッション(中)</t>
  </si>
  <si>
    <t>　シャドー</t>
  </si>
  <si>
    <r>
      <t>　　・メルガード(中</t>
    </r>
    <r>
      <rPr>
        <sz val="11"/>
        <rFont val="ＭＳ Ｐゴシック"/>
        <family val="3"/>
      </rPr>
      <t>)</t>
    </r>
  </si>
  <si>
    <r>
      <t>　　・ヘイスト(小</t>
    </r>
    <r>
      <rPr>
        <sz val="11"/>
        <rFont val="ＭＳ Ｐゴシック"/>
        <family val="3"/>
      </rPr>
      <t>)</t>
    </r>
  </si>
  <si>
    <t>　ナイトロード</t>
  </si>
  <si>
    <r>
      <t>　　・シャドーパートナー(大</t>
    </r>
    <r>
      <rPr>
        <sz val="11"/>
        <rFont val="ＭＳ Ｐゴシック"/>
        <family val="3"/>
      </rPr>
      <t>)</t>
    </r>
  </si>
  <si>
    <t>　バイパー</t>
  </si>
  <si>
    <r>
      <t>　　・ウィンドブースター(中</t>
    </r>
    <r>
      <rPr>
        <sz val="11"/>
        <rFont val="ＭＳ Ｐゴシック"/>
        <family val="3"/>
      </rPr>
      <t>)</t>
    </r>
  </si>
  <si>
    <r>
      <t>　　・ソウルアロー(小</t>
    </r>
    <r>
      <rPr>
        <sz val="11"/>
        <rFont val="ＭＳ Ｐゴシック"/>
        <family val="3"/>
      </rPr>
      <t>)</t>
    </r>
  </si>
  <si>
    <t>　キャプテン</t>
  </si>
  <si>
    <t>攻撃対象の属性</t>
  </si>
  <si>
    <t>チャージ＋</t>
  </si>
  <si>
    <t>属性補正</t>
  </si>
  <si>
    <t>クリ最小ダメージ上昇</t>
  </si>
  <si>
    <t>メイン弱点</t>
  </si>
  <si>
    <t>メイン通常</t>
  </si>
  <si>
    <t>メイン耐性</t>
  </si>
  <si>
    <t>メイン弱点</t>
  </si>
  <si>
    <t>メイン通常</t>
  </si>
  <si>
    <t>メイン耐性</t>
  </si>
  <si>
    <t>総ダメージ率</t>
  </si>
  <si>
    <t>期待値</t>
  </si>
  <si>
    <t>ワイルドトラップ</t>
  </si>
  <si>
    <t>シルバーホーク</t>
  </si>
  <si>
    <t>・バルカンの射出数は攻撃速度に依存しないとし、500発/分で統一</t>
  </si>
  <si>
    <t>･ファイナルアタックは硬直なしで射出　バルカン時200発/分</t>
  </si>
  <si>
    <t>トラップ召喚</t>
  </si>
  <si>
    <t>ホーク召喚</t>
  </si>
  <si>
    <t>１分間に与える</t>
  </si>
  <si>
    <t>ホーク+トラップ</t>
  </si>
  <si>
    <t>・アドバンスドダークオーラの持続ダメージはボスには無効です</t>
  </si>
  <si>
    <t>不明</t>
  </si>
  <si>
    <t>　　　該当しない職業は　ヒーロー　パラディン　ダークナイト　ナイトロード　バトルメイジ</t>
  </si>
  <si>
    <t>魔力+%</t>
  </si>
  <si>
    <t>グリッド効果</t>
  </si>
  <si>
    <t>　　　　　ワイルドハンター：ワイルドバルカン</t>
  </si>
  <si>
    <t>　　・暴風、ラピッドファイア・ワイルドバルカンはノックバックにより必ず射出が停止する。</t>
  </si>
  <si>
    <t>　　　よってこの3つのスキルはその他のスキルに比べ損失ダメージがかなり大きい</t>
  </si>
  <si>
    <t>　　　　ボウマスター　クロスボウマスター　アークメイジ　ビショップ　ナイトロード　キャプテン　エヴァン　ワイルドハンター</t>
  </si>
  <si>
    <t>　バトルメイジ</t>
  </si>
  <si>
    <t>　ワイルドハンター</t>
  </si>
  <si>
    <r>
      <t>　　・シャープアイズ(中</t>
    </r>
    <r>
      <rPr>
        <sz val="11"/>
        <rFont val="ＭＳ Ｐゴシック"/>
        <family val="3"/>
      </rPr>
      <t>)</t>
    </r>
  </si>
  <si>
    <t>速度4(やや早い)＝グレイヴ　163,103属性棒　エビルウィング　毒キノコ　等</t>
  </si>
  <si>
    <t>速度5(やや早い)＝椎茸</t>
  </si>
  <si>
    <t>速度6(普通)　　＝メイプル系の棒　黄金錫杖　封印錫杖　孫家之棒</t>
  </si>
  <si>
    <t>速度7(やや遅い)＝ウマル系　メガウッドスタッフ　クリムゾンスタッフ</t>
  </si>
  <si>
    <t>速度8(やや遅い)＝ビジター系　通常の棒の大半</t>
  </si>
  <si>
    <r>
      <t>　　・ホーミング(中</t>
    </r>
    <r>
      <rPr>
        <sz val="11"/>
        <rFont val="ＭＳ Ｐゴシック"/>
        <family val="3"/>
      </rPr>
      <t>)</t>
    </r>
  </si>
  <si>
    <r>
      <t>3</t>
    </r>
    <r>
      <rPr>
        <sz val="11"/>
        <rFont val="ＭＳ Ｐゴシック"/>
        <family val="3"/>
      </rPr>
      <t>~9</t>
    </r>
  </si>
  <si>
    <t>　・職業別損失ダメージ目安を追加</t>
  </si>
  <si>
    <t>職業別損失ダメージ目安</t>
  </si>
  <si>
    <t>　その他の考慮点</t>
  </si>
  <si>
    <t>※暴風30秒ほどでFAが100切りを起こすため、アクションを挟む必要があります。1分間FA込みで打ち続けることは出来ないのでご注意を</t>
  </si>
  <si>
    <t>ファイアショット</t>
  </si>
  <si>
    <t>ファイアショット</t>
  </si>
  <si>
    <t>持続ダメ率</t>
  </si>
  <si>
    <t>持続秒数</t>
  </si>
  <si>
    <t>棒</t>
  </si>
  <si>
    <t>持続ダメージ合計</t>
  </si>
  <si>
    <t>持続ダメージ(弱点時)</t>
  </si>
  <si>
    <t>防御減少</t>
  </si>
  <si>
    <t>一分あたりのダメージ(FA込み)</t>
  </si>
  <si>
    <t>トリプル攻撃力(防御修正処理後)</t>
  </si>
  <si>
    <t>一分あたりのダメージ(FA込み)</t>
  </si>
  <si>
    <t>2発合計</t>
  </si>
  <si>
    <t>シャドーパートナー込みの合計</t>
  </si>
  <si>
    <t>ファイナル</t>
  </si>
  <si>
    <t>シャドパ</t>
  </si>
  <si>
    <t>始撃</t>
  </si>
  <si>
    <r>
      <t>(影込み</t>
    </r>
    <r>
      <rPr>
        <sz val="11"/>
        <rFont val="ＭＳ Ｐゴシック"/>
        <family val="3"/>
      </rPr>
      <t>)</t>
    </r>
  </si>
  <si>
    <t>ベノム</t>
  </si>
  <si>
    <t>毒有効</t>
  </si>
  <si>
    <r>
      <t>　2011</t>
    </r>
    <r>
      <rPr>
        <sz val="11"/>
        <rFont val="ＭＳ Ｐゴシック"/>
        <family val="3"/>
      </rPr>
      <t>/01/12</t>
    </r>
  </si>
  <si>
    <t>　・全職にダークオーラ適用可能になりました</t>
  </si>
  <si>
    <t>　・バトルメイジのダークオーラの計算を修正</t>
  </si>
  <si>
    <t>　・パラディンの計算シートを大幅に変更</t>
  </si>
  <si>
    <t>　・ワイルドハンターにワイルドトラップ、シルバーホークの計算を追加</t>
  </si>
  <si>
    <t>　Version 1.32</t>
  </si>
  <si>
    <t>　　・以下のスキルは空中での使用が不可能なため、ノックバックのタイミングにより攻撃が遅れる場合がある</t>
  </si>
  <si>
    <t>　　　そのため、該当するスキルを使用する場合、分間ダメージの損失が大きい</t>
  </si>
  <si>
    <t>　　　　　キャプテン：バトルシップキャノン　ラピッドファイア</t>
  </si>
  <si>
    <t>　　　　　バイパー　：アッパー、エネルギー系以外のほとんどのスキル</t>
  </si>
  <si>
    <t>　　　これらの職業は分間ダメージの損失が少ない</t>
  </si>
  <si>
    <t>　　・以下の職業は、相手の雑魚召喚等により軌道が遮られ、ボス本体へダメージが通らなくなる場合がある</t>
  </si>
  <si>
    <t>80回/分</t>
  </si>
  <si>
    <t>・いくつかのLvでAPが多くもらえますが、把握しきれていません。</t>
  </si>
  <si>
    <t>　ステータス入力の際は注意してください。</t>
  </si>
  <si>
    <t>分間回数</t>
  </si>
  <si>
    <t>表記上の攻撃力</t>
  </si>
  <si>
    <t>・ダークオーラはダメージではなくステータス攻撃力を上昇させます</t>
  </si>
  <si>
    <t>・ステータス表示はバトルマスタリーで魔力30%アップさせているものが表示されていますが、</t>
  </si>
  <si>
    <t>　実際は魔力30%上昇でなくダメージ30%上昇です</t>
  </si>
  <si>
    <t>・すべてのスキルに防御率20%無視が適用されています</t>
  </si>
  <si>
    <t>　Version 1.26</t>
  </si>
  <si>
    <t>　・全職にソンズエフェクトを適用できるようしました</t>
  </si>
  <si>
    <t>ブレイブスラッシュ</t>
  </si>
  <si>
    <t>ブレイブスラッシュ</t>
  </si>
  <si>
    <t>　・エヴァン、魔法使い職の分間攻撃力修正</t>
  </si>
  <si>
    <t>　・クァンタムエクスプロージョンの分間ダメージを計算できるようにしました</t>
  </si>
  <si>
    <t>　・ゴーストレタリングの分間ダメージのみ、ダメージ上昇効果適用</t>
  </si>
  <si>
    <t>(MapleStory Ver.1.85時)</t>
  </si>
  <si>
    <t>(TTの場合)</t>
  </si>
  <si>
    <t>　　　そのため以下の職業は、雑魚が召喚されるボスの場合損失ダメージが大きい</t>
  </si>
  <si>
    <t>MIN</t>
  </si>
  <si>
    <t>AVE</t>
  </si>
  <si>
    <t>MAX</t>
  </si>
  <si>
    <r>
      <t>　　　※コンボシステムにより、かけ直し後5</t>
    </r>
    <r>
      <rPr>
        <sz val="11"/>
        <rFont val="ＭＳ Ｐゴシック"/>
        <family val="3"/>
      </rPr>
      <t>~10発の間ダメージ損失あり</t>
    </r>
  </si>
  <si>
    <t>4~7</t>
  </si>
  <si>
    <t>クリティカルスキルLv</t>
  </si>
  <si>
    <t>スキル攻撃力</t>
  </si>
  <si>
    <t>フリースキル</t>
  </si>
  <si>
    <t>スタンマスタリーLv</t>
  </si>
  <si>
    <t>塗られた箇所以外に入力してしまえば、箇所によっては正しく機能しなくなってしまいます。</t>
  </si>
  <si>
    <t xml:space="preserve"> ▼チェックボックス</t>
  </si>
  <si>
    <t xml:space="preserve"> ▼フリースキル</t>
  </si>
  <si>
    <t>　自動でそのスキルのダメージを計算してくれます。</t>
  </si>
  <si>
    <t>　主に2次職以下のスキルを計算にお使いください。</t>
  </si>
  <si>
    <t>　各職にある"フリースキル"。これは、自分の計算したいスキルのダメージ率等を入力すれば、</t>
  </si>
  <si>
    <r>
      <t>※職業の後ろの数値は、小=</t>
    </r>
    <r>
      <rPr>
        <sz val="11"/>
        <rFont val="ＭＳ Ｐゴシック"/>
        <family val="3"/>
      </rPr>
      <t>1,中=2,大=3とした場合の、かけ直しに要する時間の目安です</t>
    </r>
  </si>
  <si>
    <t>スキル解除後のかけなおしスキル　(多いほど損失ダメージも大きい)</t>
  </si>
  <si>
    <t>勲章</t>
  </si>
  <si>
    <t>ベルト</t>
  </si>
  <si>
    <t>ベルト</t>
  </si>
  <si>
    <t>ストレイフ+フリズベルク召喚あり</t>
  </si>
  <si>
    <t>ストレイフ+スナイピング+フリズベルク召喚あり</t>
  </si>
  <si>
    <t>スキル</t>
  </si>
  <si>
    <t>アンブッシュ</t>
  </si>
  <si>
    <t>アンブッシュ</t>
  </si>
  <si>
    <t>ダメージ</t>
  </si>
  <si>
    <r>
      <t>　2</t>
    </r>
    <r>
      <rPr>
        <sz val="11"/>
        <rFont val="ＭＳ Ｐゴシック"/>
        <family val="3"/>
      </rPr>
      <t>009/04/15</t>
    </r>
  </si>
  <si>
    <t>　Version 1.10</t>
  </si>
  <si>
    <t>　・シャドー・ナイトロードにアンブッシュを仮追加</t>
  </si>
  <si>
    <t>　・ステータス部にベルト・勲章を追加</t>
  </si>
  <si>
    <t>・スピリットアップと薬,ブラッド,他スキル等との重複は可能</t>
  </si>
  <si>
    <t>・鉾バスターは、槍バスターに比べ攻撃速度2段階分速くなってます</t>
  </si>
  <si>
    <t>-</t>
  </si>
  <si>
    <r>
      <t>　・パラディンのS</t>
    </r>
    <r>
      <rPr>
        <sz val="11"/>
        <rFont val="ＭＳ Ｐゴシック"/>
        <family val="3"/>
      </rPr>
      <t>E0時の計算　キャプテンのタコ・鳥計算式　等細々したとこ修正</t>
    </r>
  </si>
  <si>
    <r>
      <t>　2</t>
    </r>
    <r>
      <rPr>
        <sz val="11"/>
        <rFont val="ＭＳ Ｐゴシック"/>
        <family val="3"/>
      </rPr>
      <t>009/06/24</t>
    </r>
  </si>
  <si>
    <r>
      <t>　・R</t>
    </r>
    <r>
      <rPr>
        <sz val="11"/>
        <rFont val="ＭＳ Ｐゴシック"/>
        <family val="3"/>
      </rPr>
      <t>eadMe以外のシートの保護解除</t>
    </r>
  </si>
  <si>
    <t>　Version 1.11</t>
  </si>
  <si>
    <t>　Ver.1.11以降の場合、</t>
  </si>
  <si>
    <t>この色の</t>
  </si>
  <si>
    <t>セル以外にも入力、変更が出来るようになりましたが、</t>
  </si>
  <si>
    <t>サベジ</t>
  </si>
  <si>
    <t>BS+サベジ</t>
  </si>
  <si>
    <t>BS+シブズ</t>
  </si>
  <si>
    <t>所要時間</t>
  </si>
  <si>
    <t>　この色の</t>
  </si>
  <si>
    <t>箇所以外への入力はしないでください。</t>
  </si>
  <si>
    <t>攻撃回数・補足数</t>
  </si>
  <si>
    <t>ラッキーセブン</t>
  </si>
  <si>
    <t>クリティカルスキルLv</t>
  </si>
  <si>
    <t>入力する必要はありません。</t>
  </si>
  <si>
    <t>　保存してしまった場合はもう一度ダウンロードしなおしてください。</t>
  </si>
  <si>
    <t>魔法攻撃力</t>
  </si>
  <si>
    <t>　　保護の作業とかけっこー面倒だったんですよｗごめんなさい投げます。</t>
  </si>
  <si>
    <r>
      <t>　・L</t>
    </r>
    <r>
      <rPr>
        <sz val="11"/>
        <rFont val="ＭＳ Ｐゴシック"/>
        <family val="3"/>
      </rPr>
      <t>ostDamageシートをReadMeの右部へ移動</t>
    </r>
  </si>
  <si>
    <t>フィスト</t>
  </si>
  <si>
    <t>ドラスト</t>
  </si>
  <si>
    <t>(常に打ち続けた場合)</t>
  </si>
  <si>
    <t>トランス解除時にシミュレータに入力したスキルを挟んだ実質の分間</t>
  </si>
  <si>
    <t>　・バイパーの分間ダメージ計算を修正</t>
  </si>
  <si>
    <t>ストレート</t>
  </si>
  <si>
    <t>アッパー</t>
  </si>
  <si>
    <t>オーブ</t>
  </si>
  <si>
    <t>バスター</t>
  </si>
  <si>
    <t>ドレイン</t>
  </si>
  <si>
    <t>デモリ</t>
  </si>
  <si>
    <t>ウェイブ</t>
  </si>
  <si>
    <t>スナッチ</t>
  </si>
  <si>
    <t>ストレート</t>
  </si>
  <si>
    <t>ストレート</t>
  </si>
  <si>
    <t>ラピッドファイア</t>
  </si>
  <si>
    <t>クリティカル</t>
  </si>
  <si>
    <t>ブレイドフューリー</t>
  </si>
  <si>
    <t>ラピッドファイア+</t>
  </si>
  <si>
    <t>バトルシップキャノン</t>
  </si>
  <si>
    <t>バトルシップキャノン+</t>
  </si>
  <si>
    <t>トリプルファイア</t>
  </si>
  <si>
    <t>トリプルファイア+</t>
  </si>
  <si>
    <t>バトルシップミサイル</t>
  </si>
  <si>
    <t>エアストライク</t>
  </si>
  <si>
    <t>ファイアバーナー</t>
  </si>
  <si>
    <t>ガブアイオータ</t>
  </si>
  <si>
    <t>サポートオクトパス</t>
  </si>
  <si>
    <t>ダメージ</t>
  </si>
  <si>
    <t>硬直</t>
  </si>
  <si>
    <t>ディレイ</t>
  </si>
  <si>
    <t>スキル名</t>
  </si>
  <si>
    <t>スキル番号</t>
  </si>
  <si>
    <t>ディレイ</t>
  </si>
  <si>
    <t>パンチ(即)</t>
  </si>
  <si>
    <t>分間ダメージ</t>
  </si>
  <si>
    <t>精霊の祝福</t>
  </si>
  <si>
    <t>6発合計</t>
  </si>
  <si>
    <t>　Version 1.12</t>
  </si>
  <si>
    <t>　・シャドー・バイパーのスキルディレイを修正しました</t>
  </si>
  <si>
    <t>　・スキル「精霊の祝福」を追加しました</t>
  </si>
  <si>
    <t>なし</t>
  </si>
  <si>
    <t>エルボー</t>
  </si>
  <si>
    <t>　・バイパーの分間ダメージ算出方法を変更しました</t>
  </si>
  <si>
    <r>
      <t>　2009/08/</t>
    </r>
    <r>
      <rPr>
        <sz val="11"/>
        <rFont val="ＭＳ Ｐゴシック"/>
        <family val="3"/>
      </rPr>
      <t>10</t>
    </r>
  </si>
  <si>
    <t>　Version 1.13</t>
  </si>
  <si>
    <r>
      <t>　・魔法使い系統で精霊の祝福を使用するとI</t>
    </r>
    <r>
      <rPr>
        <sz val="11"/>
        <rFont val="ＭＳ Ｐゴシック"/>
        <family val="3"/>
      </rPr>
      <t>NTが上がってしまう不具合を修正</t>
    </r>
  </si>
  <si>
    <t>　Version 1.14</t>
  </si>
  <si>
    <t>　・ダークナイトのクリティカルダメージの計算式を間違っていたのを修正</t>
  </si>
  <si>
    <t>　2009/08/12</t>
  </si>
  <si>
    <r>
      <t>　2009/0</t>
    </r>
    <r>
      <rPr>
        <sz val="11"/>
        <rFont val="ＭＳ Ｐゴシック"/>
        <family val="3"/>
      </rPr>
      <t>8</t>
    </r>
    <r>
      <rPr>
        <sz val="11"/>
        <rFont val="ＭＳ Ｐゴシック"/>
        <family val="3"/>
      </rPr>
      <t>/2</t>
    </r>
    <r>
      <rPr>
        <sz val="11"/>
        <rFont val="ＭＳ Ｐゴシック"/>
        <family val="3"/>
      </rPr>
      <t>0</t>
    </r>
  </si>
  <si>
    <r>
      <t>　2009/0</t>
    </r>
    <r>
      <rPr>
        <sz val="11"/>
        <rFont val="ＭＳ Ｐゴシック"/>
        <family val="3"/>
      </rPr>
      <t>8</t>
    </r>
    <r>
      <rPr>
        <sz val="11"/>
        <rFont val="ＭＳ Ｐゴシック"/>
        <family val="3"/>
      </rPr>
      <t>/2</t>
    </r>
    <r>
      <rPr>
        <sz val="11"/>
        <rFont val="ＭＳ Ｐゴシック"/>
        <family val="3"/>
      </rPr>
      <t>3</t>
    </r>
  </si>
  <si>
    <t>　Version 1.15</t>
  </si>
  <si>
    <t>持続ダメージ込み一分あたりのダメージ(通常時)</t>
  </si>
  <si>
    <t>持続ダメージ込み一分あたりのダメージ(弱点時)</t>
  </si>
  <si>
    <t>　・魔法使い各スキルの熟練度の参照セルを間違っていたのを修正</t>
  </si>
  <si>
    <t>ベルト</t>
  </si>
  <si>
    <t>ペット</t>
  </si>
  <si>
    <t>MH</t>
  </si>
  <si>
    <t>スキル</t>
  </si>
  <si>
    <t>　Version 1.16</t>
  </si>
  <si>
    <t>　・英雄のエコーを追加</t>
  </si>
  <si>
    <r>
      <t>　・デモリションを修正(防御無視</t>
    </r>
    <r>
      <rPr>
        <sz val="11"/>
        <rFont val="ＭＳ Ｐゴシック"/>
        <family val="3"/>
      </rPr>
      <t>)</t>
    </r>
  </si>
  <si>
    <t>フリースキル</t>
  </si>
  <si>
    <t>スキルダメージ率</t>
  </si>
  <si>
    <t>召喚数</t>
  </si>
  <si>
    <t>自爆最大</t>
  </si>
  <si>
    <t>自爆平均</t>
  </si>
  <si>
    <t>Lv(=上昇率)</t>
  </si>
  <si>
    <t>自爆最小</t>
  </si>
  <si>
    <t>トイ最小</t>
  </si>
  <si>
    <t>トイ平均</t>
  </si>
  <si>
    <t>トイ最大</t>
  </si>
  <si>
    <t>消滅までに与えるダメージ</t>
  </si>
  <si>
    <t>自爆</t>
  </si>
  <si>
    <t>アンプリファイア</t>
  </si>
  <si>
    <t>ダメ上昇</t>
  </si>
  <si>
    <t>　・バトルシップの待機時間を修正</t>
  </si>
  <si>
    <t>　・英雄のコダマの計算式を修正</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</si>
</sst>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
    <numFmt numFmtId="187" formatCode="0.0000%"/>
    <numFmt numFmtId="188" formatCode="0.00000%"/>
    <numFmt numFmtId="189" formatCode="0.0000_ "/>
    <numFmt numFmtId="190" formatCode="0.000_ "/>
    <numFmt numFmtId="191" formatCode="0.00_ "/>
    <numFmt numFmtId="192" formatCode="#,##0.0000000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color indexed="18"/>
      <name val="HGP創英角ﾎﾟｯﾌﾟ体"/>
      <family val="3"/>
    </font>
    <font>
      <sz val="11"/>
      <color indexed="18"/>
      <name val="ＭＳ Ｐゴシック"/>
      <family val="3"/>
    </font>
    <font>
      <sz val="8"/>
      <name val="ＭＳ Ｐゴシック"/>
      <family val="3"/>
    </font>
    <font>
      <b/>
      <sz val="11"/>
      <name val="ＭＳ Ｐゴシック"/>
      <family val="3"/>
    </font>
    <font>
      <sz val="9"/>
      <name val="ＭＳ Ｐゴシック"/>
      <family val="3"/>
    </font>
    <font>
      <sz val="11"/>
      <color indexed="21"/>
      <name val="ＭＳ Ｐゴシック"/>
      <family val="3"/>
    </font>
    <font>
      <sz val="11"/>
      <color indexed="22"/>
      <name val="ＭＳ Ｐゴシック"/>
      <family val="3"/>
    </font>
    <font>
      <sz val="11"/>
      <color indexed="51"/>
      <name val="ＭＳ Ｐゴシック"/>
      <family val="3"/>
    </font>
    <font>
      <b/>
      <sz val="11"/>
      <color indexed="10"/>
      <name val="ＭＳ Ｐゴシック"/>
      <family val="3"/>
    </font>
    <font>
      <sz val="11"/>
      <color indexed="10"/>
      <name val="ＭＳ Ｐゴシック"/>
      <family val="3"/>
    </font>
    <font>
      <b/>
      <sz val="14"/>
      <name val="ＭＳ Ｐゴシック"/>
      <family val="3"/>
    </font>
    <font>
      <b/>
      <sz val="9"/>
      <name val="ＭＳ Ｐゴシック"/>
      <family val="3"/>
    </font>
    <font>
      <sz val="10"/>
      <name val="ＭＳ Ｐゴシック"/>
      <family val="3"/>
    </font>
    <font>
      <sz val="18"/>
      <color indexed="10"/>
      <name val="ＭＳ Ｐゴシック"/>
      <family val="3"/>
    </font>
    <font>
      <u val="single"/>
      <sz val="11"/>
      <name val="ＭＳ Ｐゴシック"/>
      <family val="3"/>
    </font>
    <font>
      <b/>
      <sz val="10"/>
      <name val="ＭＳ Ｐゴシック"/>
      <family val="3"/>
    </font>
    <font>
      <sz val="11"/>
      <color indexed="53"/>
      <name val="ＭＳ Ｐゴシック"/>
      <family val="3"/>
    </font>
    <font>
      <sz val="11"/>
      <color indexed="9"/>
      <name val="ＭＳ Ｐゴシック"/>
      <family val="3"/>
    </font>
    <font>
      <b/>
      <sz val="12"/>
      <name val="ＭＳ Ｐゴシック"/>
      <family val="3"/>
    </font>
    <font>
      <b/>
      <sz val="16"/>
      <color indexed="53"/>
      <name val="ＭＳ Ｐゴシック"/>
      <family val="3"/>
    </font>
    <font>
      <sz val="16"/>
      <name val="ＭＳ Ｐゴシック"/>
      <family val="3"/>
    </font>
    <font>
      <sz val="9"/>
      <name val="MS UI Gothic"/>
      <family val="3"/>
    </font>
    <font>
      <b/>
      <sz val="11"/>
      <color indexed="42"/>
      <name val="ＭＳ Ｐゴシック"/>
      <family val="3"/>
    </font>
    <font>
      <sz val="11"/>
      <color indexed="44"/>
      <name val="ＭＳ Ｐゴシック"/>
      <family val="3"/>
    </font>
    <font>
      <sz val="10.75"/>
      <name val="ＭＳ Ｐゴシック"/>
      <family val="3"/>
    </font>
  </fonts>
  <fills count="17">
    <fill>
      <patternFill/>
    </fill>
    <fill>
      <patternFill patternType="gray125"/>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52"/>
        <bgColor indexed="64"/>
      </patternFill>
    </fill>
    <fill>
      <patternFill patternType="solid">
        <fgColor indexed="19"/>
        <bgColor indexed="64"/>
      </patternFill>
    </fill>
    <fill>
      <patternFill patternType="solid">
        <fgColor indexed="51"/>
        <bgColor indexed="64"/>
      </patternFill>
    </fill>
  </fills>
  <borders count="139">
    <border>
      <left/>
      <right/>
      <top/>
      <bottom/>
      <diagonal/>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color indexed="63"/>
      </right>
      <top>
        <color indexed="63"/>
      </top>
      <bottom style="thin"/>
    </border>
    <border>
      <left style="medium"/>
      <right>
        <color indexed="63"/>
      </right>
      <top>
        <color indexed="63"/>
      </top>
      <bottom>
        <color indexed="63"/>
      </bottom>
    </border>
    <border>
      <left>
        <color indexed="63"/>
      </left>
      <right style="thin"/>
      <top style="medium"/>
      <bottom style="thin"/>
    </border>
    <border>
      <left style="medium"/>
      <right style="thin">
        <color indexed="49"/>
      </right>
      <top style="medium">
        <color indexed="49"/>
      </top>
      <bottom style="thin">
        <color indexed="49"/>
      </bottom>
    </border>
    <border>
      <left style="thin">
        <color indexed="49"/>
      </left>
      <right style="medium">
        <color indexed="49"/>
      </right>
      <top style="medium">
        <color indexed="49"/>
      </top>
      <bottom style="thin">
        <color indexed="49"/>
      </bottom>
    </border>
    <border>
      <left style="medium"/>
      <right style="thin">
        <color indexed="49"/>
      </right>
      <top>
        <color indexed="63"/>
      </top>
      <bottom>
        <color indexed="63"/>
      </bottom>
    </border>
    <border>
      <left>
        <color indexed="63"/>
      </left>
      <right style="thin"/>
      <top>
        <color indexed="63"/>
      </top>
      <bottom style="medium"/>
    </border>
    <border>
      <left style="thin"/>
      <right style="medium"/>
      <top>
        <color indexed="63"/>
      </top>
      <bottom style="medium"/>
    </border>
    <border>
      <left style="thin"/>
      <right style="medium"/>
      <top style="medium"/>
      <bottom style="medium"/>
    </border>
    <border>
      <left>
        <color indexed="63"/>
      </left>
      <right style="thin"/>
      <top>
        <color indexed="63"/>
      </top>
      <bottom style="thin"/>
    </border>
    <border>
      <left style="medium"/>
      <right style="thin">
        <color indexed="49"/>
      </right>
      <top style="thin">
        <color indexed="49"/>
      </top>
      <bottom style="thin">
        <color indexed="49"/>
      </bottom>
    </border>
    <border>
      <left>
        <color indexed="63"/>
      </left>
      <right style="thin"/>
      <top style="thin"/>
      <bottom style="thin"/>
    </border>
    <border>
      <left style="thin"/>
      <right>
        <color indexed="63"/>
      </right>
      <top style="thin"/>
      <bottom style="medium"/>
    </border>
    <border>
      <left style="medium"/>
      <right>
        <color indexed="63"/>
      </right>
      <top>
        <color indexed="63"/>
      </top>
      <bottom style="medium"/>
    </border>
    <border>
      <left style="medium"/>
      <right style="thin">
        <color indexed="49"/>
      </right>
      <top>
        <color indexed="63"/>
      </top>
      <bottom style="thin">
        <color indexed="49"/>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style="thin"/>
      <bottom style="thin"/>
    </border>
    <border>
      <left style="thin"/>
      <right style="medium"/>
      <top style="medium"/>
      <bottom>
        <color indexed="63"/>
      </bottom>
    </border>
    <border>
      <left style="thin"/>
      <right style="thin"/>
      <top style="thin"/>
      <bottom>
        <color indexed="63"/>
      </botto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thin">
        <color indexed="49"/>
      </right>
      <top>
        <color indexed="63"/>
      </top>
      <bottom style="medium"/>
    </border>
    <border>
      <left style="thin">
        <color indexed="49"/>
      </left>
      <right style="medium">
        <color indexed="49"/>
      </right>
      <top style="thin">
        <color indexed="49"/>
      </top>
      <bottom>
        <color indexed="63"/>
      </bottom>
    </border>
    <border>
      <left style="medium"/>
      <right>
        <color indexed="63"/>
      </right>
      <top>
        <color indexed="63"/>
      </top>
      <bottom style="thin">
        <color indexed="49"/>
      </bottom>
    </border>
    <border>
      <left style="thin">
        <color indexed="49"/>
      </left>
      <right style="medium">
        <color indexed="49"/>
      </right>
      <top>
        <color indexed="63"/>
      </top>
      <bottom style="thin">
        <color indexed="49"/>
      </bottom>
    </border>
    <border>
      <left style="medium"/>
      <right style="medium"/>
      <top style="medium"/>
      <bottom style="medium"/>
    </border>
    <border>
      <left style="thin"/>
      <right style="thin"/>
      <top style="medium"/>
      <bottom>
        <color indexed="63"/>
      </bottom>
    </border>
    <border>
      <left>
        <color indexed="63"/>
      </left>
      <right style="thin"/>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color indexed="63"/>
      </bottom>
    </border>
    <border>
      <left style="medium"/>
      <right style="thin"/>
      <top style="thin"/>
      <bottom style="double"/>
    </border>
    <border>
      <left style="thin"/>
      <right style="medium"/>
      <top style="thin"/>
      <bottom style="double"/>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style="medium">
        <color indexed="46"/>
      </right>
      <top style="medium"/>
      <bottom style="medium"/>
    </border>
    <border>
      <left style="medium"/>
      <right style="medium">
        <color indexed="46"/>
      </right>
      <top>
        <color indexed="63"/>
      </top>
      <bottom style="thin"/>
    </border>
    <border>
      <left style="medium"/>
      <right style="medium">
        <color indexed="46"/>
      </right>
      <top style="thin"/>
      <bottom style="thin"/>
    </border>
    <border>
      <left style="medium"/>
      <right style="medium">
        <color indexed="46"/>
      </right>
      <top style="thin"/>
      <bottom>
        <color indexed="63"/>
      </bottom>
    </border>
    <border>
      <left style="medium"/>
      <right style="medium">
        <color indexed="46"/>
      </right>
      <top style="medium"/>
      <bottom style="thin"/>
    </border>
    <border>
      <left style="medium"/>
      <right style="medium">
        <color indexed="46"/>
      </right>
      <top style="thin"/>
      <bottom style="medium"/>
    </border>
    <border>
      <left style="thin">
        <color indexed="15"/>
      </left>
      <right style="thin">
        <color indexed="51"/>
      </right>
      <top style="medium"/>
      <bottom style="medium"/>
    </border>
    <border>
      <left>
        <color indexed="63"/>
      </left>
      <right>
        <color indexed="63"/>
      </right>
      <top>
        <color indexed="63"/>
      </top>
      <bottom style="thin"/>
    </border>
    <border>
      <left style="thin">
        <color indexed="15"/>
      </left>
      <right style="thin">
        <color indexed="51"/>
      </right>
      <top>
        <color indexed="63"/>
      </top>
      <bottom style="thin"/>
    </border>
    <border>
      <left>
        <color indexed="63"/>
      </left>
      <right style="medium"/>
      <top>
        <color indexed="63"/>
      </top>
      <bottom style="thin"/>
    </border>
    <border>
      <left>
        <color indexed="63"/>
      </left>
      <right>
        <color indexed="63"/>
      </right>
      <top style="thin"/>
      <bottom style="thin"/>
    </border>
    <border>
      <left style="thin">
        <color indexed="15"/>
      </left>
      <right style="thin">
        <color indexed="51"/>
      </right>
      <top style="thin"/>
      <bottom style="thin"/>
    </border>
    <border>
      <left>
        <color indexed="63"/>
      </left>
      <right>
        <color indexed="63"/>
      </right>
      <top style="thin"/>
      <bottom style="medium"/>
    </border>
    <border>
      <left style="thin">
        <color indexed="15"/>
      </left>
      <right style="thin">
        <color indexed="51"/>
      </right>
      <top style="thin"/>
      <bottom style="medium"/>
    </border>
    <border>
      <left>
        <color indexed="63"/>
      </left>
      <right style="medium"/>
      <top style="thin"/>
      <bottom style="medium"/>
    </border>
    <border>
      <left style="thin">
        <color indexed="15"/>
      </left>
      <right style="thin">
        <color indexed="51"/>
      </right>
      <top>
        <color indexed="63"/>
      </top>
      <bottom style="medium"/>
    </border>
    <border>
      <left style="thin">
        <color indexed="15"/>
      </left>
      <right style="thin">
        <color indexed="51"/>
      </right>
      <top style="thin"/>
      <bottom>
        <color indexed="63"/>
      </bottom>
    </border>
    <border>
      <left style="thin">
        <color indexed="15"/>
      </left>
      <right style="thin">
        <color indexed="51"/>
      </right>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thin">
        <color indexed="49"/>
      </left>
      <right style="medium">
        <color indexed="49"/>
      </right>
      <top>
        <color indexed="63"/>
      </top>
      <bottom style="medium"/>
    </border>
    <border>
      <left>
        <color indexed="63"/>
      </left>
      <right style="thin"/>
      <top>
        <color indexed="63"/>
      </top>
      <bottom>
        <color indexed="63"/>
      </bottom>
    </border>
    <border>
      <left style="thin"/>
      <right style="thin"/>
      <top style="thin"/>
      <bottom style="double"/>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style="thin">
        <color indexed="10"/>
      </left>
      <right style="thin">
        <color indexed="51"/>
      </right>
      <top style="medium"/>
      <bottom style="medium"/>
    </border>
    <border>
      <left style="thin">
        <color indexed="10"/>
      </left>
      <right style="thin">
        <color indexed="51"/>
      </right>
      <top>
        <color indexed="63"/>
      </top>
      <bottom style="thin"/>
    </border>
    <border>
      <left style="thin">
        <color indexed="10"/>
      </left>
      <right style="thin">
        <color indexed="51"/>
      </right>
      <top style="thin"/>
      <bottom style="thin"/>
    </border>
    <border>
      <left style="thin">
        <color indexed="10"/>
      </left>
      <right style="thin">
        <color indexed="51"/>
      </right>
      <top style="thin"/>
      <bottom style="medium"/>
    </border>
    <border>
      <left style="thin">
        <color indexed="10"/>
      </left>
      <right style="thin">
        <color indexed="51"/>
      </right>
      <top>
        <color indexed="63"/>
      </top>
      <bottom style="medium"/>
    </border>
    <border>
      <left style="thin">
        <color indexed="10"/>
      </left>
      <right style="thin">
        <color indexed="51"/>
      </right>
      <top style="thin"/>
      <bottom>
        <color indexed="63"/>
      </bottom>
    </border>
    <border>
      <left style="thin">
        <color indexed="10"/>
      </left>
      <right style="thin">
        <color indexed="51"/>
      </right>
      <top style="medium"/>
      <bottom style="thin"/>
    </border>
    <border>
      <left style="medium"/>
      <right style="thin"/>
      <top style="medium"/>
      <bottom style="thin">
        <color indexed="51"/>
      </bottom>
    </border>
    <border>
      <left style="thin"/>
      <right style="thin">
        <color indexed="51"/>
      </right>
      <top style="medium"/>
      <bottom style="thin">
        <color indexed="51"/>
      </bottom>
    </border>
    <border>
      <left style="medium"/>
      <right style="thin"/>
      <top style="thin">
        <color indexed="51"/>
      </top>
      <bottom style="thin">
        <color indexed="10"/>
      </bottom>
    </border>
    <border>
      <left style="thin"/>
      <right>
        <color indexed="63"/>
      </right>
      <top style="thin">
        <color indexed="51"/>
      </top>
      <bottom style="thin">
        <color indexed="10"/>
      </bottom>
    </border>
    <border>
      <left style="medium"/>
      <right style="thin"/>
      <top style="thin">
        <color indexed="10"/>
      </top>
      <bottom style="thin">
        <color indexed="15"/>
      </bottom>
    </border>
    <border>
      <left style="thin"/>
      <right style="thin">
        <color indexed="15"/>
      </right>
      <top style="thin">
        <color indexed="10"/>
      </top>
      <bottom style="thin">
        <color indexed="15"/>
      </bottom>
    </border>
    <border>
      <left style="medium"/>
      <right style="thin"/>
      <top style="thin">
        <color indexed="15"/>
      </top>
      <bottom style="thin">
        <color indexed="46"/>
      </bottom>
    </border>
    <border>
      <left style="thin"/>
      <right>
        <color indexed="63"/>
      </right>
      <top style="thin">
        <color indexed="15"/>
      </top>
      <bottom style="thin">
        <color indexed="46"/>
      </bottom>
    </border>
    <border>
      <left>
        <color indexed="63"/>
      </left>
      <right>
        <color indexed="63"/>
      </right>
      <top style="medium"/>
      <bottom style="thin">
        <color indexed="51"/>
      </bottom>
    </border>
    <border>
      <left style="thin">
        <color indexed="10"/>
      </left>
      <right>
        <color indexed="63"/>
      </right>
      <top style="thin">
        <color indexed="51"/>
      </top>
      <bottom style="thin">
        <color indexed="10"/>
      </bottom>
    </border>
    <border>
      <left>
        <color indexed="63"/>
      </left>
      <right>
        <color indexed="63"/>
      </right>
      <top style="thin">
        <color indexed="10"/>
      </top>
      <bottom style="thin">
        <color indexed="15"/>
      </bottom>
    </border>
    <border>
      <left style="thin">
        <color indexed="46"/>
      </left>
      <right>
        <color indexed="63"/>
      </right>
      <top style="thin">
        <color indexed="15"/>
      </top>
      <bottom style="thin">
        <color indexed="46"/>
      </bottom>
    </border>
    <border>
      <left>
        <color indexed="63"/>
      </left>
      <right style="thin"/>
      <top style="thin"/>
      <bottom style="double"/>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style="medium"/>
      <top style="medium"/>
      <bottom>
        <color indexed="63"/>
      </bottom>
    </border>
    <border>
      <left style="medium">
        <color indexed="49"/>
      </left>
      <right>
        <color indexed="63"/>
      </right>
      <top style="thin"/>
      <bottom style="medium"/>
    </border>
    <border>
      <left>
        <color indexed="63"/>
      </left>
      <right style="medium">
        <color indexed="49"/>
      </right>
      <top style="medium"/>
      <bottom style="medium">
        <color indexed="49"/>
      </bottom>
    </border>
    <border>
      <left>
        <color indexed="63"/>
      </left>
      <right style="thin"/>
      <top style="medium"/>
      <bottom>
        <color indexed="63"/>
      </bottom>
    </border>
    <border>
      <left style="medium"/>
      <right>
        <color indexed="63"/>
      </right>
      <top style="medium"/>
      <bottom style="medium">
        <color indexed="49"/>
      </botto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865">
    <xf numFmtId="0" fontId="0" fillId="0" borderId="0" xfId="0" applyAlignment="1">
      <alignment vertical="center"/>
    </xf>
    <xf numFmtId="0" fontId="0" fillId="0" borderId="1" xfId="0"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2" borderId="17" xfId="0" applyFill="1" applyBorder="1" applyAlignment="1">
      <alignment vertical="center"/>
    </xf>
    <xf numFmtId="0" fontId="0" fillId="0" borderId="18" xfId="0" applyBorder="1" applyAlignment="1">
      <alignment horizontal="center" vertical="center"/>
    </xf>
    <xf numFmtId="0" fontId="0" fillId="2" borderId="19" xfId="0"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6" xfId="0" applyBorder="1" applyAlignment="1">
      <alignment horizontal="right" vertical="center"/>
    </xf>
    <xf numFmtId="0" fontId="0" fillId="0" borderId="21" xfId="0" applyBorder="1" applyAlignment="1">
      <alignment horizontal="right" vertical="center"/>
    </xf>
    <xf numFmtId="0" fontId="0" fillId="0" borderId="4" xfId="0" applyFill="1" applyBorder="1" applyAlignment="1">
      <alignment vertical="center"/>
    </xf>
    <xf numFmtId="0" fontId="0" fillId="0" borderId="22" xfId="0" applyBorder="1" applyAlignment="1">
      <alignment horizontal="right" vertical="center"/>
    </xf>
    <xf numFmtId="0" fontId="0" fillId="0" borderId="23" xfId="0" applyFill="1" applyBorder="1" applyAlignment="1">
      <alignment vertical="center"/>
    </xf>
    <xf numFmtId="9" fontId="0" fillId="0" borderId="15" xfId="0" applyNumberForma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Fill="1" applyBorder="1" applyAlignment="1">
      <alignment horizontal="center" vertical="center"/>
    </xf>
    <xf numFmtId="0" fontId="0" fillId="0" borderId="27" xfId="0" applyFill="1" applyBorder="1" applyAlignment="1">
      <alignment horizontal="center" vertical="center"/>
    </xf>
    <xf numFmtId="0" fontId="0" fillId="3" borderId="22" xfId="0" applyFill="1" applyBorder="1" applyAlignment="1">
      <alignment vertical="center"/>
    </xf>
    <xf numFmtId="9" fontId="0" fillId="0" borderId="28" xfId="0" applyNumberFormat="1" applyBorder="1" applyAlignment="1">
      <alignment vertical="center"/>
    </xf>
    <xf numFmtId="0" fontId="0" fillId="0" borderId="1" xfId="0" applyFill="1" applyBorder="1" applyAlignment="1">
      <alignment vertical="center"/>
    </xf>
    <xf numFmtId="0" fontId="0" fillId="0" borderId="21" xfId="0" applyBorder="1" applyAlignment="1">
      <alignment vertical="center"/>
    </xf>
    <xf numFmtId="0" fontId="0" fillId="3" borderId="29"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3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4" borderId="29" xfId="0"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 fillId="0" borderId="14" xfId="0" applyFont="1" applyBorder="1" applyAlignment="1">
      <alignment vertical="center"/>
    </xf>
    <xf numFmtId="0" fontId="0" fillId="4" borderId="33" xfId="0" applyFill="1" applyBorder="1" applyAlignment="1">
      <alignment vertical="center"/>
    </xf>
    <xf numFmtId="9" fontId="0" fillId="0" borderId="34" xfId="0" applyNumberForma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176" fontId="7" fillId="0" borderId="0" xfId="0" applyNumberFormat="1" applyFont="1" applyFill="1" applyBorder="1" applyAlignment="1">
      <alignment vertical="center"/>
    </xf>
    <xf numFmtId="0" fontId="0" fillId="0" borderId="39"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40" xfId="0" applyFill="1" applyBorder="1" applyAlignment="1">
      <alignment vertical="center"/>
    </xf>
    <xf numFmtId="0" fontId="11" fillId="0" borderId="0" xfId="0" applyFont="1" applyAlignment="1">
      <alignment vertical="center"/>
    </xf>
    <xf numFmtId="0" fontId="0" fillId="0" borderId="0" xfId="0" applyFill="1" applyBorder="1" applyAlignment="1">
      <alignment horizontal="center" vertical="center"/>
    </xf>
    <xf numFmtId="0" fontId="0" fillId="0" borderId="41" xfId="0" applyBorder="1" applyAlignment="1">
      <alignment vertical="center"/>
    </xf>
    <xf numFmtId="0" fontId="0" fillId="2" borderId="42"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0" fillId="0" borderId="26" xfId="0" applyBorder="1" applyAlignment="1">
      <alignment vertical="center"/>
    </xf>
    <xf numFmtId="9" fontId="0" fillId="0" borderId="26" xfId="0" applyNumberFormat="1" applyBorder="1" applyAlignment="1">
      <alignment vertical="center"/>
    </xf>
    <xf numFmtId="9" fontId="0" fillId="0" borderId="27" xfId="0" applyNumberFormat="1" applyBorder="1" applyAlignment="1">
      <alignment vertical="center"/>
    </xf>
    <xf numFmtId="0" fontId="0" fillId="0" borderId="3" xfId="0" applyBorder="1" applyAlignment="1">
      <alignment vertical="center"/>
    </xf>
    <xf numFmtId="178" fontId="0" fillId="0" borderId="4" xfId="0" applyNumberForma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4" borderId="36" xfId="0" applyFont="1" applyFill="1" applyBorder="1" applyAlignment="1">
      <alignment horizontal="center" vertical="center" wrapText="1"/>
    </xf>
    <xf numFmtId="9" fontId="0" fillId="0" borderId="31" xfId="0" applyNumberFormat="1" applyBorder="1" applyAlignment="1">
      <alignment vertical="center"/>
    </xf>
    <xf numFmtId="0" fontId="0" fillId="0" borderId="27" xfId="0" applyFill="1" applyBorder="1" applyAlignment="1">
      <alignment vertical="center"/>
    </xf>
    <xf numFmtId="0" fontId="0" fillId="0" borderId="27" xfId="0" applyBorder="1" applyAlignment="1">
      <alignment vertical="center"/>
    </xf>
    <xf numFmtId="0" fontId="0" fillId="0" borderId="3" xfId="0" applyBorder="1" applyAlignment="1">
      <alignment horizontal="center" vertical="center"/>
    </xf>
    <xf numFmtId="0" fontId="8" fillId="0" borderId="0" xfId="0" applyFont="1" applyBorder="1" applyAlignment="1">
      <alignment vertical="center"/>
    </xf>
    <xf numFmtId="0" fontId="0" fillId="4" borderId="14" xfId="0" applyFill="1" applyBorder="1" applyAlignment="1">
      <alignment vertical="center"/>
    </xf>
    <xf numFmtId="0" fontId="0" fillId="4" borderId="3" xfId="0" applyFill="1" applyBorder="1" applyAlignment="1">
      <alignment vertical="center"/>
    </xf>
    <xf numFmtId="0" fontId="0" fillId="0" borderId="11" xfId="0" applyBorder="1" applyAlignment="1">
      <alignment vertical="center"/>
    </xf>
    <xf numFmtId="0" fontId="0" fillId="0" borderId="16" xfId="0" applyFill="1" applyBorder="1" applyAlignment="1">
      <alignment horizontal="right" vertical="center"/>
    </xf>
    <xf numFmtId="0" fontId="0" fillId="0" borderId="27" xfId="0" applyFill="1" applyBorder="1" applyAlignment="1">
      <alignment vertical="center"/>
    </xf>
    <xf numFmtId="0" fontId="0" fillId="0" borderId="8" xfId="0" applyFill="1" applyBorder="1" applyAlignment="1">
      <alignment horizontal="center" vertical="center" shrinkToFit="1"/>
    </xf>
    <xf numFmtId="9" fontId="0" fillId="0" borderId="14" xfId="0" applyNumberFormat="1" applyFill="1" applyBorder="1" applyAlignment="1">
      <alignment horizontal="center" vertical="center"/>
    </xf>
    <xf numFmtId="0" fontId="0" fillId="4" borderId="3" xfId="0" applyFill="1" applyBorder="1" applyAlignment="1">
      <alignment horizontal="center" vertical="center"/>
    </xf>
    <xf numFmtId="0" fontId="0" fillId="4" borderId="8" xfId="0" applyFill="1" applyBorder="1" applyAlignment="1">
      <alignment horizontal="center" vertical="center" shrinkToFit="1"/>
    </xf>
    <xf numFmtId="9" fontId="0" fillId="4" borderId="14" xfId="0" applyNumberFormat="1" applyFill="1" applyBorder="1" applyAlignment="1">
      <alignment horizontal="center" vertical="center"/>
    </xf>
    <xf numFmtId="0" fontId="7" fillId="0" borderId="0" xfId="0" applyFont="1" applyFill="1" applyBorder="1" applyAlignment="1">
      <alignment vertical="center"/>
    </xf>
    <xf numFmtId="0" fontId="7" fillId="5" borderId="16" xfId="0" applyNumberFormat="1" applyFont="1" applyFill="1" applyBorder="1" applyAlignment="1">
      <alignment horizontal="right" vertical="center"/>
    </xf>
    <xf numFmtId="0" fontId="7" fillId="5" borderId="18" xfId="0" applyNumberFormat="1" applyFont="1" applyFill="1" applyBorder="1" applyAlignment="1">
      <alignment horizontal="right" vertical="center"/>
    </xf>
    <xf numFmtId="0" fontId="7" fillId="5" borderId="27" xfId="0" applyNumberFormat="1" applyFont="1" applyFill="1" applyBorder="1" applyAlignment="1">
      <alignment horizontal="right" vertical="center"/>
    </xf>
    <xf numFmtId="176" fontId="7" fillId="3" borderId="28" xfId="0" applyNumberFormat="1" applyFont="1" applyFill="1" applyBorder="1" applyAlignment="1">
      <alignment vertical="center"/>
    </xf>
    <xf numFmtId="176" fontId="7" fillId="3" borderId="11" xfId="0" applyNumberFormat="1" applyFont="1" applyFill="1" applyBorder="1" applyAlignment="1">
      <alignment vertical="center"/>
    </xf>
    <xf numFmtId="176" fontId="7" fillId="3" borderId="12" xfId="0" applyNumberFormat="1" applyFont="1" applyFill="1" applyBorder="1" applyAlignment="1">
      <alignment vertical="center"/>
    </xf>
    <xf numFmtId="176" fontId="7" fillId="4" borderId="30" xfId="0" applyNumberFormat="1" applyFont="1" applyFill="1" applyBorder="1" applyAlignment="1">
      <alignment vertical="center"/>
    </xf>
    <xf numFmtId="176" fontId="7" fillId="4" borderId="8" xfId="0" applyNumberFormat="1" applyFont="1" applyFill="1" applyBorder="1" applyAlignment="1">
      <alignment vertical="center"/>
    </xf>
    <xf numFmtId="176" fontId="7" fillId="4" borderId="9" xfId="0" applyNumberFormat="1" applyFont="1" applyFill="1" applyBorder="1" applyAlignment="1">
      <alignment vertical="center"/>
    </xf>
    <xf numFmtId="176" fontId="7" fillId="6" borderId="30" xfId="0" applyNumberFormat="1" applyFont="1" applyFill="1" applyBorder="1" applyAlignment="1">
      <alignment vertical="center"/>
    </xf>
    <xf numFmtId="176" fontId="7" fillId="6" borderId="8" xfId="0" applyNumberFormat="1" applyFont="1" applyFill="1" applyBorder="1" applyAlignment="1">
      <alignment vertical="center"/>
    </xf>
    <xf numFmtId="176" fontId="7" fillId="6" borderId="9" xfId="0" applyNumberFormat="1" applyFont="1" applyFill="1" applyBorder="1" applyAlignment="1">
      <alignment vertical="center"/>
    </xf>
    <xf numFmtId="176" fontId="7" fillId="7" borderId="37" xfId="0" applyNumberFormat="1" applyFont="1" applyFill="1" applyBorder="1" applyAlignment="1">
      <alignment vertical="center"/>
    </xf>
    <xf numFmtId="176" fontId="7" fillId="7" borderId="45" xfId="0" applyNumberFormat="1" applyFont="1" applyFill="1" applyBorder="1" applyAlignment="1">
      <alignment vertical="center"/>
    </xf>
    <xf numFmtId="0" fontId="0" fillId="3" borderId="4" xfId="0" applyFill="1" applyBorder="1" applyAlignment="1">
      <alignment vertical="center" shrinkToFit="1"/>
    </xf>
    <xf numFmtId="176" fontId="7" fillId="3" borderId="21" xfId="0" applyNumberFormat="1" applyFont="1" applyFill="1" applyBorder="1" applyAlignment="1">
      <alignment vertical="center"/>
    </xf>
    <xf numFmtId="176" fontId="7" fillId="3" borderId="46" xfId="0" applyNumberFormat="1" applyFont="1" applyFill="1" applyBorder="1" applyAlignment="1">
      <alignment vertical="center"/>
    </xf>
    <xf numFmtId="0" fontId="0" fillId="4" borderId="9" xfId="0" applyFill="1" applyBorder="1" applyAlignment="1">
      <alignment vertical="center" shrinkToFit="1"/>
    </xf>
    <xf numFmtId="176" fontId="7" fillId="6" borderId="47" xfId="0" applyNumberFormat="1"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0" fontId="0" fillId="8" borderId="20" xfId="0" applyFont="1" applyFill="1" applyBorder="1" applyAlignment="1">
      <alignment vertical="center" wrapText="1"/>
    </xf>
    <xf numFmtId="0" fontId="0" fillId="8" borderId="0" xfId="0" applyFont="1" applyFill="1" applyBorder="1" applyAlignment="1">
      <alignment vertical="center" wrapText="1"/>
    </xf>
    <xf numFmtId="0" fontId="0" fillId="8" borderId="48" xfId="0" applyFont="1" applyFill="1" applyBorder="1" applyAlignment="1">
      <alignment vertical="center" wrapText="1"/>
    </xf>
    <xf numFmtId="0" fontId="0" fillId="8" borderId="20"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xf numFmtId="9" fontId="0" fillId="0" borderId="0" xfId="0" applyNumberFormat="1" applyFill="1" applyBorder="1" applyAlignment="1">
      <alignment vertical="center"/>
    </xf>
    <xf numFmtId="0" fontId="0" fillId="2" borderId="20" xfId="0" applyFill="1" applyBorder="1" applyAlignment="1">
      <alignment horizontal="left" vertical="center"/>
    </xf>
    <xf numFmtId="0" fontId="18" fillId="8" borderId="20" xfId="0" applyFont="1" applyFill="1" applyBorder="1" applyAlignment="1">
      <alignment horizontal="left" vertical="center"/>
    </xf>
    <xf numFmtId="0" fontId="0" fillId="9" borderId="0" xfId="0" applyFill="1" applyBorder="1" applyAlignment="1">
      <alignment horizontal="left" vertical="center"/>
    </xf>
    <xf numFmtId="0" fontId="7" fillId="8" borderId="20" xfId="0" applyFont="1" applyFill="1" applyBorder="1" applyAlignment="1">
      <alignment horizontal="left" vertical="center"/>
    </xf>
    <xf numFmtId="0" fontId="0" fillId="8" borderId="20" xfId="0" applyFont="1" applyFill="1" applyBorder="1" applyAlignment="1">
      <alignment horizontal="left" vertical="center"/>
    </xf>
    <xf numFmtId="0" fontId="0" fillId="8" borderId="32" xfId="0" applyFill="1" applyBorder="1" applyAlignment="1">
      <alignment horizontal="left" vertical="center"/>
    </xf>
    <xf numFmtId="0" fontId="0" fillId="8" borderId="49" xfId="0" applyFill="1" applyBorder="1" applyAlignment="1">
      <alignment horizontal="left" vertical="center"/>
    </xf>
    <xf numFmtId="0" fontId="0" fillId="8" borderId="50" xfId="0" applyFill="1" applyBorder="1" applyAlignment="1">
      <alignment horizontal="left" vertical="center"/>
    </xf>
    <xf numFmtId="0" fontId="0" fillId="0" borderId="3" xfId="0" applyFill="1" applyBorder="1" applyAlignment="1">
      <alignment vertical="center"/>
    </xf>
    <xf numFmtId="0" fontId="0" fillId="0" borderId="51" xfId="0" applyBorder="1" applyAlignment="1">
      <alignment vertical="center"/>
    </xf>
    <xf numFmtId="0" fontId="0" fillId="0" borderId="20" xfId="0" applyFill="1" applyBorder="1" applyAlignment="1">
      <alignment vertical="center"/>
    </xf>
    <xf numFmtId="0" fontId="0" fillId="2" borderId="4" xfId="0" applyFill="1" applyBorder="1" applyAlignment="1">
      <alignment vertical="center"/>
    </xf>
    <xf numFmtId="0" fontId="0" fillId="0" borderId="48" xfId="0" applyBorder="1" applyAlignment="1">
      <alignment vertical="center"/>
    </xf>
    <xf numFmtId="0" fontId="0" fillId="0" borderId="48" xfId="0" applyFill="1" applyBorder="1" applyAlignment="1">
      <alignment vertical="center"/>
    </xf>
    <xf numFmtId="0" fontId="0" fillId="0" borderId="32" xfId="0" applyFill="1" applyBorder="1" applyAlignment="1">
      <alignment vertical="center"/>
    </xf>
    <xf numFmtId="9" fontId="0" fillId="0" borderId="50" xfId="0" applyNumberFormat="1" applyFill="1" applyBorder="1" applyAlignment="1">
      <alignment vertical="center"/>
    </xf>
    <xf numFmtId="0" fontId="0" fillId="0" borderId="52" xfId="0" applyFill="1" applyBorder="1" applyAlignment="1">
      <alignment horizontal="right" vertical="center"/>
    </xf>
    <xf numFmtId="0" fontId="0" fillId="0" borderId="15" xfId="0" applyFill="1" applyBorder="1" applyAlignment="1">
      <alignment vertical="center"/>
    </xf>
    <xf numFmtId="0" fontId="0" fillId="0" borderId="2" xfId="0" applyBorder="1" applyAlignment="1">
      <alignment vertical="center"/>
    </xf>
    <xf numFmtId="0" fontId="0" fillId="0" borderId="31" xfId="0" applyFill="1" applyBorder="1" applyAlignment="1">
      <alignment vertical="center"/>
    </xf>
    <xf numFmtId="0" fontId="0" fillId="0" borderId="16" xfId="0" applyFill="1" applyBorder="1" applyAlignment="1">
      <alignment vertical="center"/>
    </xf>
    <xf numFmtId="0" fontId="0" fillId="0" borderId="43" xfId="0" applyFill="1" applyBorder="1" applyAlignment="1">
      <alignment horizontal="right" vertical="center"/>
    </xf>
    <xf numFmtId="0" fontId="0" fillId="0" borderId="34" xfId="0" applyFill="1" applyBorder="1" applyAlignment="1">
      <alignment vertical="center"/>
    </xf>
    <xf numFmtId="0" fontId="0" fillId="0" borderId="20" xfId="0" applyFill="1" applyBorder="1" applyAlignment="1">
      <alignment vertical="center"/>
    </xf>
    <xf numFmtId="0" fontId="0" fillId="0" borderId="48" xfId="0" applyFill="1" applyBorder="1" applyAlignment="1">
      <alignment horizontal="right" vertical="center"/>
    </xf>
    <xf numFmtId="0" fontId="8" fillId="0" borderId="1" xfId="0" applyFont="1" applyBorder="1" applyAlignment="1">
      <alignment vertical="center"/>
    </xf>
    <xf numFmtId="0" fontId="0" fillId="0" borderId="5" xfId="0" applyFill="1" applyBorder="1" applyAlignment="1">
      <alignment vertical="center"/>
    </xf>
    <xf numFmtId="9" fontId="0" fillId="0" borderId="38" xfId="0" applyNumberFormat="1" applyBorder="1" applyAlignment="1">
      <alignment vertical="center"/>
    </xf>
    <xf numFmtId="0" fontId="0" fillId="0" borderId="15" xfId="0" applyNumberFormat="1" applyFill="1" applyBorder="1" applyAlignment="1">
      <alignment vertical="center" shrinkToFit="1"/>
    </xf>
    <xf numFmtId="0" fontId="0" fillId="4" borderId="4" xfId="0" applyNumberFormat="1" applyFill="1" applyBorder="1" applyAlignment="1">
      <alignment vertical="center"/>
    </xf>
    <xf numFmtId="0" fontId="0" fillId="4" borderId="9" xfId="0" applyNumberFormat="1" applyFill="1" applyBorder="1" applyAlignment="1">
      <alignment vertical="center"/>
    </xf>
    <xf numFmtId="0" fontId="0" fillId="4" borderId="15" xfId="0" applyNumberFormat="1" applyFill="1" applyBorder="1" applyAlignment="1">
      <alignment vertical="center"/>
    </xf>
    <xf numFmtId="9" fontId="0" fillId="0" borderId="3" xfId="0" applyNumberFormat="1" applyFill="1" applyBorder="1" applyAlignment="1">
      <alignment vertical="center"/>
    </xf>
    <xf numFmtId="9" fontId="0" fillId="0" borderId="4" xfId="0" applyNumberFormat="1" applyFill="1" applyBorder="1" applyAlignment="1">
      <alignment vertical="center"/>
    </xf>
    <xf numFmtId="0" fontId="0" fillId="0" borderId="0" xfId="0" applyNumberFormat="1" applyFont="1" applyFill="1" applyBorder="1" applyAlignment="1">
      <alignment vertical="center"/>
    </xf>
    <xf numFmtId="9" fontId="0" fillId="0" borderId="53" xfId="0" applyNumberFormat="1" applyBorder="1" applyAlignment="1">
      <alignment vertical="center"/>
    </xf>
    <xf numFmtId="0" fontId="8" fillId="0" borderId="0" xfId="0" applyFont="1" applyBorder="1" applyAlignment="1">
      <alignment horizontal="left" vertical="center"/>
    </xf>
    <xf numFmtId="0" fontId="0" fillId="0" borderId="52" xfId="0" applyBorder="1" applyAlignment="1">
      <alignment vertical="center"/>
    </xf>
    <xf numFmtId="0" fontId="0" fillId="2" borderId="54" xfId="0" applyFill="1" applyBorder="1" applyAlignment="1">
      <alignment vertical="center"/>
    </xf>
    <xf numFmtId="0" fontId="0" fillId="0" borderId="54" xfId="0" applyBorder="1" applyAlignment="1">
      <alignment vertical="center"/>
    </xf>
    <xf numFmtId="0" fontId="0" fillId="4" borderId="55" xfId="0" applyFill="1" applyBorder="1" applyAlignment="1">
      <alignment vertical="center"/>
    </xf>
    <xf numFmtId="9" fontId="0" fillId="0" borderId="25" xfId="0" applyNumberFormat="1" applyBorder="1" applyAlignment="1">
      <alignment vertical="center"/>
    </xf>
    <xf numFmtId="0" fontId="0" fillId="4" borderId="11" xfId="0" applyFill="1" applyBorder="1" applyAlignment="1">
      <alignment vertical="center"/>
    </xf>
    <xf numFmtId="0" fontId="0" fillId="0" borderId="56" xfId="0" applyBorder="1" applyAlignment="1">
      <alignment horizontal="center" vertical="center"/>
    </xf>
    <xf numFmtId="0" fontId="0" fillId="3" borderId="57" xfId="0" applyFill="1" applyBorder="1" applyAlignment="1">
      <alignment vertical="center"/>
    </xf>
    <xf numFmtId="9" fontId="0" fillId="0" borderId="23" xfId="0" applyNumberFormat="1" applyBorder="1" applyAlignment="1">
      <alignment vertical="center"/>
    </xf>
    <xf numFmtId="9" fontId="0" fillId="0" borderId="58" xfId="0" applyNumberFormat="1" applyBorder="1" applyAlignment="1">
      <alignment vertical="center"/>
    </xf>
    <xf numFmtId="0" fontId="0" fillId="10" borderId="8" xfId="0" applyFill="1" applyBorder="1" applyAlignment="1">
      <alignment horizontal="center" vertical="center" shrinkToFit="1"/>
    </xf>
    <xf numFmtId="0" fontId="0" fillId="0" borderId="40" xfId="0" applyBorder="1" applyAlignment="1">
      <alignment vertical="center"/>
    </xf>
    <xf numFmtId="0" fontId="8" fillId="4" borderId="32" xfId="0" applyFont="1" applyFill="1" applyBorder="1" applyAlignment="1">
      <alignment horizontal="center" vertical="center"/>
    </xf>
    <xf numFmtId="0" fontId="0" fillId="10" borderId="32" xfId="0" applyFont="1" applyFill="1" applyBorder="1" applyAlignment="1">
      <alignment horizontal="center" vertical="center"/>
    </xf>
    <xf numFmtId="0" fontId="0" fillId="0" borderId="0" xfId="0" applyFill="1" applyAlignment="1">
      <alignment vertical="center"/>
    </xf>
    <xf numFmtId="0" fontId="8" fillId="0" borderId="59" xfId="0" applyFont="1" applyFill="1" applyBorder="1" applyAlignment="1">
      <alignment vertical="center"/>
    </xf>
    <xf numFmtId="0" fontId="0" fillId="0" borderId="51" xfId="0" applyFill="1" applyBorder="1" applyAlignment="1">
      <alignment vertical="center"/>
    </xf>
    <xf numFmtId="178" fontId="0" fillId="0" borderId="2" xfId="0" applyNumberFormat="1" applyFill="1" applyBorder="1" applyAlignment="1">
      <alignment vertical="center"/>
    </xf>
    <xf numFmtId="178" fontId="0" fillId="0" borderId="39" xfId="0" applyNumberFormat="1" applyFill="1" applyBorder="1" applyAlignment="1">
      <alignment vertical="center"/>
    </xf>
    <xf numFmtId="178" fontId="0" fillId="0" borderId="31" xfId="0" applyNumberFormat="1" applyFill="1" applyBorder="1" applyAlignment="1">
      <alignment vertical="center"/>
    </xf>
    <xf numFmtId="0" fontId="0" fillId="4" borderId="3" xfId="0" applyFill="1" applyBorder="1" applyAlignment="1">
      <alignment horizontal="right" vertical="center"/>
    </xf>
    <xf numFmtId="0" fontId="0" fillId="4" borderId="8" xfId="0" applyFill="1" applyBorder="1" applyAlignment="1">
      <alignment horizontal="right" vertical="center"/>
    </xf>
    <xf numFmtId="0" fontId="0" fillId="4" borderId="14" xfId="0" applyFill="1" applyBorder="1" applyAlignment="1">
      <alignment horizontal="right" vertical="center"/>
    </xf>
    <xf numFmtId="0" fontId="0" fillId="4" borderId="60" xfId="0" applyFill="1" applyBorder="1" applyAlignment="1">
      <alignment vertical="center"/>
    </xf>
    <xf numFmtId="178" fontId="0" fillId="0" borderId="51" xfId="0" applyNumberFormat="1" applyFill="1" applyBorder="1" applyAlignment="1">
      <alignment vertical="center"/>
    </xf>
    <xf numFmtId="0" fontId="0" fillId="0" borderId="61" xfId="0" applyBorder="1" applyAlignment="1">
      <alignment horizontal="center" vertical="center"/>
    </xf>
    <xf numFmtId="0" fontId="0" fillId="0" borderId="26" xfId="0" applyFill="1" applyBorder="1" applyAlignment="1">
      <alignment vertical="center"/>
    </xf>
    <xf numFmtId="176" fontId="0" fillId="0" borderId="0" xfId="0" applyNumberFormat="1" applyAlignment="1">
      <alignment vertical="center"/>
    </xf>
    <xf numFmtId="0" fontId="7" fillId="0" borderId="15" xfId="0" applyNumberFormat="1" applyFont="1" applyBorder="1" applyAlignment="1">
      <alignment vertical="center"/>
    </xf>
    <xf numFmtId="0" fontId="0" fillId="0" borderId="0" xfId="0" applyNumberFormat="1" applyFont="1" applyFill="1" applyBorder="1" applyAlignment="1">
      <alignment vertical="center"/>
    </xf>
    <xf numFmtId="0" fontId="0" fillId="0" borderId="51" xfId="0" applyFont="1" applyFill="1" applyBorder="1" applyAlignment="1">
      <alignment horizontal="center" vertical="center"/>
    </xf>
    <xf numFmtId="0" fontId="0" fillId="8" borderId="62" xfId="0" applyFont="1" applyFill="1" applyBorder="1" applyAlignment="1">
      <alignment vertical="center"/>
    </xf>
    <xf numFmtId="0" fontId="0" fillId="0" borderId="62" xfId="0" applyBorder="1" applyAlignment="1">
      <alignment vertical="center"/>
    </xf>
    <xf numFmtId="0" fontId="0" fillId="0" borderId="2" xfId="0" applyNumberFormat="1" applyFill="1" applyBorder="1" applyAlignment="1">
      <alignment vertical="center"/>
    </xf>
    <xf numFmtId="0" fontId="0" fillId="0" borderId="39" xfId="0" applyNumberFormat="1" applyFill="1" applyBorder="1" applyAlignment="1">
      <alignment vertical="center"/>
    </xf>
    <xf numFmtId="0" fontId="0" fillId="0" borderId="31" xfId="0" applyNumberFormat="1" applyFill="1" applyBorder="1" applyAlignment="1">
      <alignment vertical="center"/>
    </xf>
    <xf numFmtId="0" fontId="0" fillId="8" borderId="0" xfId="0" applyFill="1" applyBorder="1" applyAlignment="1">
      <alignment vertical="center"/>
    </xf>
    <xf numFmtId="0" fontId="0" fillId="8" borderId="48" xfId="0" applyFill="1" applyBorder="1" applyAlignment="1">
      <alignment vertical="center"/>
    </xf>
    <xf numFmtId="0" fontId="0" fillId="0" borderId="35" xfId="0" applyFill="1" applyBorder="1" applyAlignment="1">
      <alignment vertical="center"/>
    </xf>
    <xf numFmtId="0" fontId="0" fillId="0" borderId="26" xfId="0" applyFill="1" applyBorder="1" applyAlignment="1">
      <alignment vertical="center"/>
    </xf>
    <xf numFmtId="0" fontId="2" fillId="8" borderId="0" xfId="16" applyFill="1" applyBorder="1" applyAlignment="1">
      <alignment horizontal="left" vertical="center"/>
    </xf>
    <xf numFmtId="0" fontId="0" fillId="2" borderId="12" xfId="0" applyFill="1" applyBorder="1" applyAlignment="1">
      <alignment vertical="center"/>
    </xf>
    <xf numFmtId="0" fontId="0" fillId="3" borderId="14" xfId="0" applyFill="1" applyBorder="1" applyAlignment="1">
      <alignment vertical="center"/>
    </xf>
    <xf numFmtId="9" fontId="0" fillId="11" borderId="15" xfId="0" applyNumberFormat="1" applyFill="1" applyBorder="1" applyAlignment="1">
      <alignment vertical="center"/>
    </xf>
    <xf numFmtId="0" fontId="0" fillId="0" borderId="43" xfId="0" applyFill="1" applyBorder="1" applyAlignment="1">
      <alignment horizontal="center" vertical="center"/>
    </xf>
    <xf numFmtId="0" fontId="0" fillId="0" borderId="34" xfId="0" applyFill="1" applyBorder="1" applyAlignment="1">
      <alignment vertical="center"/>
    </xf>
    <xf numFmtId="9" fontId="0" fillId="0" borderId="34" xfId="0" applyNumberFormat="1" applyFill="1" applyBorder="1" applyAlignment="1">
      <alignment vertical="center"/>
    </xf>
    <xf numFmtId="0" fontId="0" fillId="0" borderId="63" xfId="0" applyFill="1" applyBorder="1" applyAlignment="1">
      <alignment horizontal="center" vertical="center" shrinkToFit="1"/>
    </xf>
    <xf numFmtId="0" fontId="0" fillId="0" borderId="63" xfId="0" applyFill="1" applyBorder="1" applyAlignment="1">
      <alignment vertical="center"/>
    </xf>
    <xf numFmtId="0" fontId="0" fillId="0" borderId="7" xfId="0" applyBorder="1" applyAlignment="1">
      <alignment horizontal="center" vertical="center"/>
    </xf>
    <xf numFmtId="0" fontId="0" fillId="0" borderId="13" xfId="0" applyBorder="1" applyAlignment="1">
      <alignment horizontal="center" vertical="center"/>
    </xf>
    <xf numFmtId="9" fontId="0" fillId="0" borderId="53" xfId="0" applyNumberFormat="1" applyFill="1" applyBorder="1" applyAlignment="1">
      <alignment vertical="center"/>
    </xf>
    <xf numFmtId="0" fontId="0" fillId="0" borderId="16" xfId="0" applyFill="1" applyBorder="1" applyAlignment="1">
      <alignment horizontal="center" vertical="center" shrinkToFit="1"/>
    </xf>
    <xf numFmtId="0" fontId="16" fillId="0" borderId="7" xfId="0" applyFont="1" applyBorder="1" applyAlignment="1">
      <alignment vertical="center"/>
    </xf>
    <xf numFmtId="0" fontId="0" fillId="0" borderId="7"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0" xfId="0" applyBorder="1" applyAlignment="1">
      <alignment vertical="center"/>
    </xf>
    <xf numFmtId="0" fontId="0" fillId="0" borderId="35" xfId="0" applyFill="1" applyBorder="1" applyAlignment="1">
      <alignment horizontal="center" vertical="center"/>
    </xf>
    <xf numFmtId="0" fontId="0" fillId="0" borderId="1" xfId="0" applyBorder="1" applyAlignment="1">
      <alignment horizontal="right" vertical="center"/>
    </xf>
    <xf numFmtId="0" fontId="0" fillId="0" borderId="9" xfId="0" applyNumberFormat="1" applyBorder="1" applyAlignment="1">
      <alignment vertical="center"/>
    </xf>
    <xf numFmtId="0" fontId="0" fillId="2" borderId="40" xfId="0" applyFill="1" applyBorder="1" applyAlignment="1">
      <alignment vertical="center"/>
    </xf>
    <xf numFmtId="0" fontId="0" fillId="8" borderId="64" xfId="0" applyFont="1" applyFill="1" applyBorder="1" applyAlignment="1">
      <alignment vertical="center"/>
    </xf>
    <xf numFmtId="0" fontId="0" fillId="8" borderId="32" xfId="0" applyFill="1" applyBorder="1" applyAlignment="1">
      <alignment vertical="center"/>
    </xf>
    <xf numFmtId="0" fontId="8" fillId="0" borderId="10" xfId="0" applyFont="1" applyBorder="1" applyAlignment="1">
      <alignment vertical="center"/>
    </xf>
    <xf numFmtId="0" fontId="0" fillId="2" borderId="15" xfId="0" applyFill="1" applyBorder="1" applyAlignment="1">
      <alignment vertical="center"/>
    </xf>
    <xf numFmtId="0" fontId="0" fillId="0" borderId="0" xfId="0" applyNumberFormat="1" applyAlignment="1">
      <alignment vertical="center"/>
    </xf>
    <xf numFmtId="0" fontId="0" fillId="0" borderId="1" xfId="0" applyFont="1" applyFill="1" applyBorder="1" applyAlignment="1">
      <alignment vertical="center"/>
    </xf>
    <xf numFmtId="0" fontId="0" fillId="2" borderId="4" xfId="0" applyFont="1" applyFill="1" applyBorder="1" applyAlignment="1" applyProtection="1">
      <alignment vertical="center"/>
      <protection locked="0"/>
    </xf>
    <xf numFmtId="0" fontId="0" fillId="2" borderId="9" xfId="0" applyFont="1" applyFill="1" applyBorder="1" applyAlignment="1" applyProtection="1">
      <alignment vertical="center"/>
      <protection locked="0"/>
    </xf>
    <xf numFmtId="0" fontId="0" fillId="0" borderId="7" xfId="0" applyFont="1" applyFill="1" applyBorder="1" applyAlignment="1">
      <alignment vertical="center"/>
    </xf>
    <xf numFmtId="0" fontId="13" fillId="0" borderId="0" xfId="0" applyFont="1" applyFill="1" applyBorder="1" applyAlignment="1">
      <alignment vertical="center"/>
    </xf>
    <xf numFmtId="176" fontId="7"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15"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9" fontId="7" fillId="0" borderId="0" xfId="0" applyNumberFormat="1" applyFont="1" applyFill="1" applyBorder="1" applyAlignment="1">
      <alignment vertical="center"/>
    </xf>
    <xf numFmtId="0" fontId="0" fillId="0" borderId="7" xfId="0" applyFill="1" applyBorder="1" applyAlignment="1">
      <alignment vertical="center"/>
    </xf>
    <xf numFmtId="9" fontId="0" fillId="0" borderId="12" xfId="0" applyNumberFormat="1" applyBorder="1" applyAlignment="1">
      <alignment vertical="center"/>
    </xf>
    <xf numFmtId="10" fontId="0" fillId="0" borderId="16" xfId="0" applyNumberFormat="1" applyFont="1" applyFill="1" applyBorder="1" applyAlignment="1">
      <alignment horizontal="center" vertical="center"/>
    </xf>
    <xf numFmtId="9" fontId="0" fillId="0" borderId="27" xfId="15" applyFont="1" applyFill="1" applyBorder="1" applyAlignment="1">
      <alignment vertical="center"/>
    </xf>
    <xf numFmtId="0" fontId="0" fillId="0" borderId="35" xfId="0" applyFill="1" applyBorder="1" applyAlignment="1">
      <alignment horizontal="right" vertical="center"/>
    </xf>
    <xf numFmtId="9" fontId="0" fillId="0" borderId="42" xfId="0" applyNumberFormat="1" applyFill="1" applyBorder="1" applyAlignment="1">
      <alignment vertical="center"/>
    </xf>
    <xf numFmtId="0" fontId="0" fillId="4" borderId="21" xfId="0" applyFill="1" applyBorder="1" applyAlignment="1">
      <alignment horizontal="center" vertical="center"/>
    </xf>
    <xf numFmtId="0" fontId="0" fillId="4" borderId="30" xfId="0" applyFill="1" applyBorder="1" applyAlignment="1">
      <alignment horizontal="center" vertical="center" shrinkToFit="1"/>
    </xf>
    <xf numFmtId="9" fontId="0" fillId="4" borderId="66" xfId="0" applyNumberFormat="1" applyFill="1" applyBorder="1" applyAlignment="1">
      <alignment horizontal="center" vertical="center"/>
    </xf>
    <xf numFmtId="0" fontId="0" fillId="4" borderId="41" xfId="0" applyFill="1" applyBorder="1" applyAlignment="1">
      <alignment vertical="center"/>
    </xf>
    <xf numFmtId="0" fontId="0" fillId="8" borderId="43" xfId="0" applyFill="1" applyBorder="1" applyAlignment="1">
      <alignment horizontal="center" vertical="center"/>
    </xf>
    <xf numFmtId="0" fontId="0" fillId="4" borderId="38" xfId="0" applyNumberFormat="1" applyFill="1" applyBorder="1" applyAlignment="1">
      <alignment vertical="center"/>
    </xf>
    <xf numFmtId="0" fontId="0" fillId="0" borderId="43" xfId="0" applyFill="1" applyBorder="1" applyAlignment="1">
      <alignment horizontal="center" vertical="center" shrinkToFit="1"/>
    </xf>
    <xf numFmtId="0" fontId="0" fillId="10" borderId="48" xfId="0" applyNumberFormat="1" applyFill="1" applyBorder="1" applyAlignment="1">
      <alignment vertical="center"/>
    </xf>
    <xf numFmtId="0" fontId="0" fillId="0" borderId="64" xfId="0" applyFill="1" applyBorder="1" applyAlignment="1">
      <alignment horizontal="center" vertical="center"/>
    </xf>
    <xf numFmtId="176" fontId="0" fillId="0" borderId="16" xfId="0" applyNumberFormat="1" applyFont="1" applyFill="1" applyBorder="1" applyAlignment="1">
      <alignment vertical="center"/>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14" fillId="8" borderId="20"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0" fillId="10" borderId="8" xfId="0" applyFill="1" applyBorder="1" applyAlignment="1">
      <alignment vertical="center"/>
    </xf>
    <xf numFmtId="0" fontId="0" fillId="0" borderId="64" xfId="0" applyFill="1" applyBorder="1" applyAlignment="1">
      <alignment horizontal="right" vertical="center"/>
    </xf>
    <xf numFmtId="0" fontId="0" fillId="0" borderId="52" xfId="0" applyBorder="1" applyAlignment="1">
      <alignment horizontal="right" vertical="center"/>
    </xf>
    <xf numFmtId="9" fontId="0" fillId="0" borderId="40" xfId="0" applyNumberFormat="1" applyBorder="1" applyAlignment="1">
      <alignment vertical="center"/>
    </xf>
    <xf numFmtId="0" fontId="0" fillId="8" borderId="20" xfId="0" applyFont="1" applyFill="1" applyBorder="1" applyAlignment="1">
      <alignment vertical="center"/>
    </xf>
    <xf numFmtId="0" fontId="8" fillId="8"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center"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ill="1" applyBorder="1" applyAlignment="1">
      <alignment vertical="center"/>
    </xf>
    <xf numFmtId="0" fontId="0" fillId="0" borderId="7" xfId="0" applyFill="1" applyBorder="1" applyAlignment="1">
      <alignment horizontal="center" vertical="center" shrinkToFit="1"/>
    </xf>
    <xf numFmtId="0" fontId="0" fillId="0" borderId="9" xfId="0" applyFill="1" applyBorder="1" applyAlignment="1">
      <alignment vertical="center"/>
    </xf>
    <xf numFmtId="9" fontId="0" fillId="0" borderId="13" xfId="0" applyNumberFormat="1" applyFill="1" applyBorder="1" applyAlignment="1">
      <alignment horizontal="center" vertical="center"/>
    </xf>
    <xf numFmtId="0" fontId="0" fillId="0" borderId="12" xfId="0" applyFill="1" applyBorder="1" applyAlignment="1">
      <alignment vertical="center"/>
    </xf>
    <xf numFmtId="178" fontId="0" fillId="0" borderId="13" xfId="0" applyNumberFormat="1" applyFill="1" applyBorder="1" applyAlignment="1">
      <alignment vertical="center"/>
    </xf>
    <xf numFmtId="0" fontId="0" fillId="0" borderId="15" xfId="0" applyNumberFormat="1" applyFill="1" applyBorder="1" applyAlignment="1">
      <alignment vertical="center"/>
    </xf>
    <xf numFmtId="0" fontId="0" fillId="0" borderId="67" xfId="0" applyFill="1" applyBorder="1" applyAlignment="1">
      <alignment vertical="center" shrinkToFit="1"/>
    </xf>
    <xf numFmtId="0" fontId="0" fillId="2" borderId="38" xfId="0" applyFill="1" applyBorder="1" applyAlignment="1">
      <alignment vertical="center"/>
    </xf>
    <xf numFmtId="0" fontId="8" fillId="0" borderId="20" xfId="0" applyFont="1" applyBorder="1" applyAlignment="1">
      <alignment vertical="center"/>
    </xf>
    <xf numFmtId="0" fontId="6" fillId="0" borderId="1" xfId="0" applyNumberFormat="1" applyFont="1" applyBorder="1" applyAlignment="1">
      <alignment vertical="center"/>
    </xf>
    <xf numFmtId="0" fontId="0" fillId="0" borderId="16" xfId="0" applyFont="1" applyFill="1" applyBorder="1" applyAlignment="1">
      <alignment vertical="center"/>
    </xf>
    <xf numFmtId="9" fontId="0" fillId="0" borderId="27" xfId="0" applyNumberFormat="1" applyFont="1" applyFill="1" applyBorder="1" applyAlignment="1">
      <alignment vertical="center"/>
    </xf>
    <xf numFmtId="185" fontId="7" fillId="0" borderId="0" xfId="0" applyNumberFormat="1" applyFont="1" applyFill="1" applyBorder="1" applyAlignment="1">
      <alignment vertical="center"/>
    </xf>
    <xf numFmtId="0" fontId="0" fillId="0" borderId="52" xfId="0" applyFill="1" applyBorder="1" applyAlignment="1">
      <alignment horizontal="center" vertical="center"/>
    </xf>
    <xf numFmtId="0" fontId="0" fillId="0" borderId="43" xfId="0" applyBorder="1" applyAlignment="1">
      <alignment vertical="center"/>
    </xf>
    <xf numFmtId="9" fontId="0" fillId="0" borderId="40" xfId="0" applyNumberForma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7" fillId="5" borderId="43" xfId="0" applyNumberFormat="1" applyFont="1" applyFill="1" applyBorder="1" applyAlignment="1">
      <alignment horizontal="right" vertical="center"/>
    </xf>
    <xf numFmtId="0" fontId="7" fillId="5" borderId="44" xfId="0" applyNumberFormat="1" applyFont="1" applyFill="1" applyBorder="1" applyAlignment="1">
      <alignment horizontal="right" vertical="center"/>
    </xf>
    <xf numFmtId="9" fontId="0" fillId="0" borderId="14" xfId="0" applyNumberFormat="1" applyFont="1" applyFill="1" applyBorder="1" applyAlignment="1">
      <alignment vertical="center"/>
    </xf>
    <xf numFmtId="9" fontId="0" fillId="0" borderId="15" xfId="0" applyNumberFormat="1" applyFont="1" applyFill="1" applyBorder="1" applyAlignment="1">
      <alignment vertical="center"/>
    </xf>
    <xf numFmtId="0" fontId="1" fillId="0" borderId="0" xfId="0" applyFont="1" applyFill="1" applyBorder="1" applyAlignment="1">
      <alignment vertical="center"/>
    </xf>
    <xf numFmtId="9" fontId="0" fillId="0" borderId="0" xfId="0" applyNumberFormat="1" applyFont="1" applyFill="1" applyBorder="1" applyAlignment="1">
      <alignment vertical="center"/>
    </xf>
    <xf numFmtId="0" fontId="7" fillId="5" borderId="34" xfId="0" applyNumberFormat="1" applyFont="1" applyFill="1" applyBorder="1" applyAlignment="1">
      <alignment horizontal="right" vertical="center"/>
    </xf>
    <xf numFmtId="9" fontId="0" fillId="0" borderId="3" xfId="0" applyNumberFormat="1" applyFont="1" applyFill="1" applyBorder="1" applyAlignment="1">
      <alignment horizontal="right" vertical="center"/>
    </xf>
    <xf numFmtId="9" fontId="0" fillId="0" borderId="4"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10" xfId="0" applyFont="1" applyBorder="1" applyAlignment="1">
      <alignment vertical="center"/>
    </xf>
    <xf numFmtId="0" fontId="0" fillId="0" borderId="68" xfId="0" applyBorder="1" applyAlignment="1">
      <alignment vertical="center"/>
    </xf>
    <xf numFmtId="0" fontId="0" fillId="2" borderId="69" xfId="0" applyFill="1" applyBorder="1" applyAlignment="1">
      <alignment vertical="center"/>
    </xf>
    <xf numFmtId="0" fontId="8" fillId="0" borderId="68" xfId="0" applyFont="1" applyBorder="1" applyAlignment="1">
      <alignment vertical="center"/>
    </xf>
    <xf numFmtId="0" fontId="0" fillId="0" borderId="10" xfId="0" applyFill="1" applyBorder="1" applyAlignment="1">
      <alignment vertical="center"/>
    </xf>
    <xf numFmtId="0" fontId="0" fillId="0" borderId="0" xfId="0" applyFont="1" applyFill="1" applyBorder="1" applyAlignment="1">
      <alignment horizontal="center" vertical="center"/>
    </xf>
    <xf numFmtId="0" fontId="0" fillId="0" borderId="27" xfId="0" applyBorder="1" applyAlignment="1">
      <alignment vertical="center"/>
    </xf>
    <xf numFmtId="0" fontId="0" fillId="8" borderId="20" xfId="0" applyFill="1" applyBorder="1" applyAlignment="1">
      <alignment vertical="center"/>
    </xf>
    <xf numFmtId="0" fontId="0" fillId="8" borderId="0" xfId="0" applyFill="1" applyBorder="1" applyAlignment="1">
      <alignment vertical="center"/>
    </xf>
    <xf numFmtId="0" fontId="0" fillId="2" borderId="27" xfId="0" applyFill="1" applyBorder="1" applyAlignment="1">
      <alignment vertical="center"/>
    </xf>
    <xf numFmtId="0" fontId="0" fillId="0" borderId="0" xfId="0" applyAlignment="1">
      <alignment vertical="center"/>
    </xf>
    <xf numFmtId="0" fontId="20" fillId="0" borderId="15" xfId="0" applyFont="1" applyFill="1" applyBorder="1" applyAlignment="1">
      <alignment vertical="center"/>
    </xf>
    <xf numFmtId="0" fontId="0" fillId="0" borderId="60" xfId="0" applyFill="1" applyBorder="1" applyAlignment="1">
      <alignment vertical="center"/>
    </xf>
    <xf numFmtId="9" fontId="0" fillId="0" borderId="0" xfId="0" applyNumberFormat="1" applyAlignment="1">
      <alignment vertical="center"/>
    </xf>
    <xf numFmtId="10" fontId="0" fillId="0" borderId="0" xfId="0" applyNumberFormat="1" applyAlignment="1">
      <alignment vertical="center"/>
    </xf>
    <xf numFmtId="0" fontId="7" fillId="8" borderId="48" xfId="0" applyFont="1" applyFill="1" applyBorder="1" applyAlignment="1">
      <alignment horizontal="left" vertical="center"/>
    </xf>
    <xf numFmtId="0" fontId="0" fillId="8" borderId="0" xfId="0" applyFont="1" applyFill="1" applyBorder="1" applyAlignment="1">
      <alignment vertical="center"/>
    </xf>
    <xf numFmtId="0" fontId="7" fillId="8" borderId="20" xfId="0" applyFont="1" applyFill="1" applyBorder="1" applyAlignment="1">
      <alignment vertical="center"/>
    </xf>
    <xf numFmtId="0" fontId="7" fillId="8" borderId="48" xfId="0" applyFont="1" applyFill="1" applyBorder="1" applyAlignment="1">
      <alignment vertical="center"/>
    </xf>
    <xf numFmtId="0" fontId="0" fillId="0" borderId="0" xfId="0" applyFont="1" applyAlignment="1">
      <alignment vertical="center"/>
    </xf>
    <xf numFmtId="0" fontId="0" fillId="8" borderId="20" xfId="0" applyFont="1" applyFill="1" applyBorder="1" applyAlignment="1">
      <alignment vertical="center"/>
    </xf>
    <xf numFmtId="0" fontId="0" fillId="8" borderId="20" xfId="0" applyFont="1" applyFill="1" applyBorder="1" applyAlignment="1">
      <alignment horizontal="left" vertical="center"/>
    </xf>
    <xf numFmtId="0" fontId="0" fillId="8" borderId="0" xfId="0" applyFont="1" applyFill="1" applyBorder="1" applyAlignment="1">
      <alignment vertical="center"/>
    </xf>
    <xf numFmtId="0" fontId="0" fillId="8" borderId="48" xfId="0" applyFont="1" applyFill="1" applyBorder="1" applyAlignment="1">
      <alignment vertical="center"/>
    </xf>
    <xf numFmtId="0" fontId="0" fillId="8" borderId="0" xfId="0" applyFont="1" applyFill="1" applyBorder="1" applyAlignment="1">
      <alignment horizontal="left" vertical="center"/>
    </xf>
    <xf numFmtId="0" fontId="0" fillId="8" borderId="48"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2" fillId="8" borderId="0" xfId="16"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8" borderId="48" xfId="0" applyFont="1" applyFill="1" applyBorder="1" applyAlignment="1">
      <alignment horizontal="right" vertical="center"/>
    </xf>
    <xf numFmtId="0" fontId="0" fillId="8" borderId="32" xfId="0" applyFont="1" applyFill="1" applyBorder="1" applyAlignment="1">
      <alignment horizontal="left" vertical="center"/>
    </xf>
    <xf numFmtId="0" fontId="0" fillId="8" borderId="49" xfId="0" applyFont="1" applyFill="1" applyBorder="1" applyAlignment="1">
      <alignment horizontal="left" vertical="center"/>
    </xf>
    <xf numFmtId="0" fontId="0" fillId="8" borderId="50" xfId="0" applyFont="1" applyFill="1" applyBorder="1" applyAlignment="1">
      <alignment horizontal="left" vertical="center"/>
    </xf>
    <xf numFmtId="0" fontId="0" fillId="8" borderId="70" xfId="0" applyFont="1" applyFill="1" applyBorder="1" applyAlignment="1">
      <alignment horizontal="left" vertical="center"/>
    </xf>
    <xf numFmtId="0" fontId="0" fillId="8" borderId="71" xfId="0" applyFont="1" applyFill="1" applyBorder="1" applyAlignment="1">
      <alignment horizontal="left" vertical="center"/>
    </xf>
    <xf numFmtId="0" fontId="2" fillId="8" borderId="71" xfId="16" applyFont="1" applyFill="1" applyBorder="1" applyAlignment="1">
      <alignment horizontal="left" vertical="center"/>
    </xf>
    <xf numFmtId="0" fontId="0" fillId="0" borderId="71" xfId="0" applyFont="1" applyBorder="1" applyAlignment="1">
      <alignment vertical="center"/>
    </xf>
    <xf numFmtId="0" fontId="0" fillId="8" borderId="72" xfId="0" applyFont="1" applyFill="1" applyBorder="1" applyAlignment="1">
      <alignment horizontal="left" vertical="center"/>
    </xf>
    <xf numFmtId="0" fontId="0" fillId="8" borderId="49" xfId="0" applyFont="1" applyFill="1" applyBorder="1" applyAlignment="1">
      <alignment vertical="center"/>
    </xf>
    <xf numFmtId="0" fontId="7" fillId="8" borderId="73" xfId="0" applyFont="1" applyFill="1" applyBorder="1" applyAlignment="1">
      <alignment horizontal="left" vertical="center"/>
    </xf>
    <xf numFmtId="0" fontId="0" fillId="8" borderId="74" xfId="0" applyFont="1" applyFill="1" applyBorder="1" applyAlignment="1">
      <alignment horizontal="left" vertical="center"/>
    </xf>
    <xf numFmtId="0" fontId="0" fillId="8" borderId="75" xfId="0" applyFont="1" applyFill="1" applyBorder="1" applyAlignment="1">
      <alignment horizontal="left" vertical="center"/>
    </xf>
    <xf numFmtId="0" fontId="16" fillId="8" borderId="32" xfId="0" applyFont="1" applyFill="1" applyBorder="1" applyAlignment="1">
      <alignment vertical="center"/>
    </xf>
    <xf numFmtId="0" fontId="22" fillId="8" borderId="73" xfId="0" applyFont="1" applyFill="1" applyBorder="1" applyAlignment="1">
      <alignment vertical="center"/>
    </xf>
    <xf numFmtId="0" fontId="0" fillId="8" borderId="74" xfId="0" applyFont="1" applyFill="1" applyBorder="1" applyAlignment="1">
      <alignment vertical="center"/>
    </xf>
    <xf numFmtId="0" fontId="7" fillId="8" borderId="75" xfId="0" applyFont="1" applyFill="1" applyBorder="1" applyAlignment="1">
      <alignment vertical="center"/>
    </xf>
    <xf numFmtId="178" fontId="0" fillId="0" borderId="0" xfId="0" applyNumberFormat="1" applyFont="1" applyFill="1" applyBorder="1" applyAlignment="1">
      <alignment vertical="center"/>
    </xf>
    <xf numFmtId="0" fontId="0" fillId="8" borderId="0" xfId="0" applyFont="1" applyFill="1" applyBorder="1" applyAlignment="1">
      <alignment horizontal="left" vertical="center"/>
    </xf>
    <xf numFmtId="0" fontId="0" fillId="2" borderId="0" xfId="0" applyFill="1" applyBorder="1" applyAlignment="1">
      <alignment horizontal="left" vertical="center"/>
    </xf>
    <xf numFmtId="0" fontId="6" fillId="8" borderId="20" xfId="0" applyFont="1" applyFill="1" applyBorder="1" applyAlignment="1">
      <alignment horizontal="left" vertical="center"/>
    </xf>
    <xf numFmtId="0" fontId="0" fillId="2" borderId="26" xfId="0" applyFill="1" applyBorder="1" applyAlignment="1">
      <alignment vertical="center"/>
    </xf>
    <xf numFmtId="0" fontId="0" fillId="0" borderId="8" xfId="0" applyNumberFormat="1" applyFont="1" applyFill="1" applyBorder="1" applyAlignment="1">
      <alignment horizontal="right" vertical="center"/>
    </xf>
    <xf numFmtId="0" fontId="0" fillId="0" borderId="8"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8" xfId="0" applyFont="1" applyBorder="1" applyAlignment="1">
      <alignment vertical="center"/>
    </xf>
    <xf numFmtId="0" fontId="0" fillId="0" borderId="8" xfId="0" applyNumberFormat="1" applyFont="1" applyBorder="1" applyAlignment="1">
      <alignment vertical="center"/>
    </xf>
    <xf numFmtId="0" fontId="0" fillId="0" borderId="8" xfId="0" applyNumberFormat="1" applyBorder="1" applyAlignment="1">
      <alignment vertical="center"/>
    </xf>
    <xf numFmtId="0" fontId="0" fillId="0" borderId="14" xfId="0" applyNumberFormat="1" applyBorder="1" applyAlignment="1">
      <alignment vertical="center"/>
    </xf>
    <xf numFmtId="0" fontId="0" fillId="0" borderId="11" xfId="0" applyNumberFormat="1" applyBorder="1" applyAlignment="1">
      <alignment vertical="center"/>
    </xf>
    <xf numFmtId="0" fontId="0" fillId="0" borderId="0" xfId="0" applyFill="1" applyBorder="1" applyAlignment="1">
      <alignment vertical="center" shrinkToFit="1"/>
    </xf>
    <xf numFmtId="0" fontId="0" fillId="10" borderId="8" xfId="0" applyNumberFormat="1" applyFont="1" applyFill="1" applyBorder="1" applyAlignment="1">
      <alignment horizontal="right" vertical="center"/>
    </xf>
    <xf numFmtId="0" fontId="0" fillId="10" borderId="8" xfId="0" applyNumberFormat="1" applyFont="1" applyFill="1" applyBorder="1" applyAlignment="1">
      <alignment vertical="center"/>
    </xf>
    <xf numFmtId="0" fontId="0" fillId="10" borderId="8" xfId="0" applyNumberFormat="1" applyFont="1" applyFill="1" applyBorder="1" applyAlignment="1">
      <alignment vertical="center"/>
    </xf>
    <xf numFmtId="0" fontId="0" fillId="10" borderId="8" xfId="0" applyFont="1" applyFill="1" applyBorder="1" applyAlignment="1">
      <alignment vertical="center"/>
    </xf>
    <xf numFmtId="0" fontId="0" fillId="10" borderId="8" xfId="0" applyNumberFormat="1" applyFill="1" applyBorder="1" applyAlignment="1">
      <alignment vertical="center"/>
    </xf>
    <xf numFmtId="0" fontId="0" fillId="10" borderId="18" xfId="0" applyNumberFormat="1" applyFont="1" applyFill="1" applyBorder="1" applyAlignment="1">
      <alignment vertical="center"/>
    </xf>
    <xf numFmtId="0" fontId="0" fillId="0" borderId="18" xfId="0" applyNumberFormat="1" applyFont="1" applyFill="1" applyBorder="1" applyAlignment="1">
      <alignment vertical="center"/>
    </xf>
    <xf numFmtId="0" fontId="0" fillId="10" borderId="14" xfId="0" applyNumberFormat="1" applyFont="1" applyFill="1" applyBorder="1" applyAlignment="1">
      <alignment vertical="center"/>
    </xf>
    <xf numFmtId="0" fontId="0" fillId="0" borderId="14" xfId="0" applyNumberFormat="1" applyFont="1" applyFill="1" applyBorder="1" applyAlignment="1">
      <alignment horizontal="right" vertical="center"/>
    </xf>
    <xf numFmtId="0" fontId="0" fillId="5" borderId="61" xfId="0" applyNumberFormat="1" applyFont="1" applyFill="1" applyBorder="1" applyAlignment="1">
      <alignment vertical="center"/>
    </xf>
    <xf numFmtId="0" fontId="16" fillId="0" borderId="59" xfId="0" applyNumberFormat="1" applyFont="1" applyFill="1" applyBorder="1" applyAlignment="1">
      <alignment vertical="center"/>
    </xf>
    <xf numFmtId="0" fontId="7" fillId="0" borderId="76" xfId="0" applyFont="1" applyBorder="1" applyAlignment="1">
      <alignment vertical="center"/>
    </xf>
    <xf numFmtId="0" fontId="7" fillId="0" borderId="77" xfId="0" applyNumberFormat="1" applyFont="1" applyFill="1" applyBorder="1" applyAlignment="1">
      <alignment vertical="center"/>
    </xf>
    <xf numFmtId="0" fontId="7" fillId="0" borderId="77" xfId="0" applyNumberFormat="1" applyFont="1" applyFill="1" applyBorder="1" applyAlignment="1">
      <alignment vertical="center" wrapText="1"/>
    </xf>
    <xf numFmtId="0" fontId="7" fillId="0" borderId="77" xfId="0" applyFont="1" applyBorder="1" applyAlignment="1">
      <alignment vertical="center"/>
    </xf>
    <xf numFmtId="0" fontId="7" fillId="0" borderId="77" xfId="0" applyNumberFormat="1" applyFont="1" applyBorder="1" applyAlignment="1">
      <alignment vertical="center"/>
    </xf>
    <xf numFmtId="0" fontId="7" fillId="0" borderId="78" xfId="0" applyNumberFormat="1" applyFont="1" applyFill="1" applyBorder="1" applyAlignment="1">
      <alignment vertical="center"/>
    </xf>
    <xf numFmtId="0" fontId="0" fillId="0" borderId="19" xfId="0" applyNumberFormat="1" applyBorder="1" applyAlignment="1">
      <alignment vertical="center"/>
    </xf>
    <xf numFmtId="0" fontId="0" fillId="0" borderId="39" xfId="0" applyNumberFormat="1" applyBorder="1" applyAlignment="1">
      <alignment vertical="center"/>
    </xf>
    <xf numFmtId="0" fontId="0" fillId="0" borderId="31" xfId="0" applyNumberFormat="1" applyBorder="1" applyAlignment="1">
      <alignment vertical="center"/>
    </xf>
    <xf numFmtId="9" fontId="0" fillId="0" borderId="8" xfId="0" applyNumberFormat="1" applyFont="1" applyFill="1" applyBorder="1" applyAlignment="1">
      <alignment vertical="center"/>
    </xf>
    <xf numFmtId="9" fontId="0" fillId="0" borderId="3"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0" xfId="0" applyFont="1" applyFill="1" applyBorder="1" applyAlignment="1">
      <alignment vertical="center"/>
    </xf>
    <xf numFmtId="0" fontId="0" fillId="0" borderId="39" xfId="0" applyFill="1" applyBorder="1" applyAlignment="1">
      <alignment vertical="center"/>
    </xf>
    <xf numFmtId="0" fontId="0" fillId="0" borderId="0" xfId="0" applyNumberFormat="1" applyBorder="1" applyAlignment="1">
      <alignment vertical="center"/>
    </xf>
    <xf numFmtId="0" fontId="16" fillId="0" borderId="35" xfId="0" applyFont="1" applyBorder="1" applyAlignment="1">
      <alignment vertical="center"/>
    </xf>
    <xf numFmtId="0" fontId="0" fillId="2" borderId="36" xfId="0" applyNumberFormat="1" applyFill="1" applyBorder="1" applyAlignment="1">
      <alignment vertical="center"/>
    </xf>
    <xf numFmtId="0" fontId="0" fillId="2" borderId="26" xfId="0" applyNumberFormat="1" applyFill="1" applyBorder="1" applyAlignment="1">
      <alignment vertical="center"/>
    </xf>
    <xf numFmtId="0" fontId="0" fillId="0" borderId="17" xfId="0" applyNumberFormat="1" applyFont="1" applyFill="1" applyBorder="1" applyAlignment="1">
      <alignment vertical="center"/>
    </xf>
    <xf numFmtId="0" fontId="0" fillId="0" borderId="19" xfId="0" applyBorder="1" applyAlignment="1">
      <alignment vertical="center"/>
    </xf>
    <xf numFmtId="0" fontId="0" fillId="0" borderId="67" xfId="0" applyBorder="1" applyAlignment="1">
      <alignment vertical="center"/>
    </xf>
    <xf numFmtId="0" fontId="0" fillId="10" borderId="1" xfId="0" applyFill="1" applyBorder="1" applyAlignment="1">
      <alignment horizontal="center" vertical="center"/>
    </xf>
    <xf numFmtId="0" fontId="24" fillId="0" borderId="0" xfId="0" applyFont="1" applyFill="1" applyBorder="1" applyAlignment="1">
      <alignment vertical="center"/>
    </xf>
    <xf numFmtId="0" fontId="0" fillId="10" borderId="4" xfId="0" applyFill="1" applyBorder="1" applyAlignment="1">
      <alignment vertical="center"/>
    </xf>
    <xf numFmtId="0" fontId="0" fillId="0" borderId="16" xfId="0" applyFill="1" applyBorder="1" applyAlignment="1">
      <alignment vertical="center"/>
    </xf>
    <xf numFmtId="0" fontId="21" fillId="0" borderId="0" xfId="0" applyFont="1" applyAlignment="1">
      <alignment vertical="center"/>
    </xf>
    <xf numFmtId="0" fontId="21" fillId="0" borderId="0" xfId="0" applyFont="1" applyFill="1" applyAlignment="1">
      <alignment vertical="center"/>
    </xf>
    <xf numFmtId="0" fontId="0" fillId="4" borderId="44" xfId="0" applyFont="1" applyFill="1" applyBorder="1" applyAlignment="1">
      <alignment horizontal="center" vertical="center" wrapText="1"/>
    </xf>
    <xf numFmtId="0" fontId="0" fillId="10" borderId="16" xfId="0" applyFont="1" applyFill="1" applyBorder="1" applyAlignment="1">
      <alignment horizontal="center" vertical="center"/>
    </xf>
    <xf numFmtId="0" fontId="7" fillId="10" borderId="27" xfId="0" applyFont="1" applyFill="1" applyBorder="1" applyAlignment="1">
      <alignment vertical="center"/>
    </xf>
    <xf numFmtId="0" fontId="7" fillId="10" borderId="79" xfId="0" applyFont="1" applyFill="1" applyBorder="1" applyAlignment="1">
      <alignment vertical="center"/>
    </xf>
    <xf numFmtId="9" fontId="0" fillId="0" borderId="9" xfId="0" applyNumberFormat="1" applyFill="1" applyBorder="1" applyAlignment="1">
      <alignment vertical="center"/>
    </xf>
    <xf numFmtId="0" fontId="0" fillId="8" borderId="65" xfId="0" applyFill="1" applyBorder="1" applyAlignment="1">
      <alignment vertical="center"/>
    </xf>
    <xf numFmtId="0" fontId="7" fillId="8" borderId="0" xfId="0" applyFont="1" applyFill="1" applyBorder="1" applyAlignment="1">
      <alignment vertical="center"/>
    </xf>
    <xf numFmtId="0" fontId="7" fillId="8" borderId="67" xfId="0" applyFont="1" applyFill="1" applyBorder="1" applyAlignment="1">
      <alignment vertical="center"/>
    </xf>
    <xf numFmtId="0" fontId="0" fillId="0" borderId="17" xfId="0" applyBorder="1" applyAlignment="1">
      <alignment vertical="center"/>
    </xf>
    <xf numFmtId="0" fontId="0" fillId="0" borderId="0" xfId="0" applyAlignment="1">
      <alignment vertical="center" textRotation="255"/>
    </xf>
    <xf numFmtId="0" fontId="7" fillId="0" borderId="0" xfId="0" applyFont="1" applyBorder="1" applyAlignment="1">
      <alignment vertical="center"/>
    </xf>
    <xf numFmtId="9" fontId="0" fillId="0" borderId="79" xfId="0" applyNumberFormat="1" applyBorder="1" applyAlignment="1">
      <alignment vertical="center"/>
    </xf>
    <xf numFmtId="0" fontId="0" fillId="12" borderId="10" xfId="0" applyFill="1" applyBorder="1" applyAlignment="1">
      <alignment vertical="center"/>
    </xf>
    <xf numFmtId="0" fontId="0" fillId="12" borderId="13" xfId="0" applyFill="1" applyBorder="1" applyAlignment="1">
      <alignment vertical="center"/>
    </xf>
    <xf numFmtId="9" fontId="0" fillId="12" borderId="15" xfId="0" applyNumberFormat="1" applyFill="1" applyBorder="1" applyAlignment="1">
      <alignment vertical="center"/>
    </xf>
    <xf numFmtId="0" fontId="0" fillId="0" borderId="6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0" xfId="0"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horizontal="center" vertical="center"/>
    </xf>
    <xf numFmtId="10" fontId="0" fillId="0" borderId="87" xfId="0" applyNumberFormat="1" applyBorder="1" applyAlignment="1">
      <alignment vertical="center"/>
    </xf>
    <xf numFmtId="10" fontId="0" fillId="0" borderId="88" xfId="0" applyNumberFormat="1" applyBorder="1" applyAlignment="1">
      <alignment vertical="center"/>
    </xf>
    <xf numFmtId="10" fontId="0" fillId="0" borderId="89" xfId="0" applyNumberFormat="1" applyBorder="1" applyAlignment="1">
      <alignment vertical="center"/>
    </xf>
    <xf numFmtId="10" fontId="0" fillId="0" borderId="90" xfId="0" applyNumberFormat="1" applyBorder="1" applyAlignment="1">
      <alignment vertical="center"/>
    </xf>
    <xf numFmtId="10" fontId="0" fillId="0" borderId="91" xfId="0" applyNumberFormat="1" applyBorder="1" applyAlignment="1">
      <alignment vertical="center"/>
    </xf>
    <xf numFmtId="10" fontId="0" fillId="0" borderId="47" xfId="0" applyNumberFormat="1" applyBorder="1" applyAlignment="1">
      <alignment vertical="center"/>
    </xf>
    <xf numFmtId="10" fontId="0" fillId="0" borderId="92" xfId="0" applyNumberFormat="1" applyBorder="1" applyAlignment="1">
      <alignment vertical="center"/>
    </xf>
    <xf numFmtId="10" fontId="0" fillId="0" borderId="93" xfId="0" applyNumberFormat="1" applyBorder="1" applyAlignment="1">
      <alignment vertical="center"/>
    </xf>
    <xf numFmtId="10" fontId="0" fillId="0" borderId="94" xfId="0" applyNumberFormat="1" applyBorder="1" applyAlignment="1">
      <alignment vertical="center"/>
    </xf>
    <xf numFmtId="10" fontId="0" fillId="0" borderId="49" xfId="0" applyNumberFormat="1" applyFill="1" applyBorder="1" applyAlignment="1">
      <alignment vertical="center"/>
    </xf>
    <xf numFmtId="10" fontId="0" fillId="0" borderId="95" xfId="0" applyNumberFormat="1" applyBorder="1" applyAlignment="1">
      <alignment horizontal="center" vertical="center"/>
    </xf>
    <xf numFmtId="10" fontId="0" fillId="0" borderId="50" xfId="0" applyNumberFormat="1" applyBorder="1" applyAlignment="1">
      <alignment horizontal="center" vertical="center"/>
    </xf>
    <xf numFmtId="10" fontId="0" fillId="8" borderId="0" xfId="0" applyNumberFormat="1" applyFill="1" applyBorder="1" applyAlignment="1">
      <alignment horizontal="center" vertical="center"/>
    </xf>
    <xf numFmtId="10" fontId="0" fillId="8" borderId="67" xfId="0" applyNumberFormat="1" applyFill="1" applyBorder="1" applyAlignment="1">
      <alignment horizontal="center" vertical="center"/>
    </xf>
    <xf numFmtId="10" fontId="0" fillId="8" borderId="49" xfId="0" applyNumberFormat="1" applyFill="1" applyBorder="1" applyAlignment="1">
      <alignment horizontal="center" vertical="center"/>
    </xf>
    <xf numFmtId="0" fontId="0" fillId="0" borderId="20" xfId="0" applyFill="1" applyBorder="1" applyAlignment="1">
      <alignment horizontal="left" vertical="center"/>
    </xf>
    <xf numFmtId="179" fontId="0" fillId="0" borderId="88" xfId="0" applyNumberFormat="1" applyFill="1" applyBorder="1" applyAlignment="1">
      <alignment vertical="center"/>
    </xf>
    <xf numFmtId="179" fontId="0" fillId="0" borderId="89" xfId="0" applyNumberFormat="1" applyFill="1" applyBorder="1" applyAlignment="1">
      <alignment vertical="center"/>
    </xf>
    <xf numFmtId="179" fontId="0" fillId="0" borderId="91" xfId="0" applyNumberFormat="1" applyFill="1" applyBorder="1" applyAlignment="1">
      <alignment vertical="center"/>
    </xf>
    <xf numFmtId="179" fontId="0" fillId="0" borderId="47" xfId="0" applyNumberFormat="1" applyFill="1" applyBorder="1" applyAlignment="1">
      <alignment vertical="center"/>
    </xf>
    <xf numFmtId="179" fontId="0" fillId="0" borderId="96" xfId="0" applyNumberFormat="1" applyFill="1" applyBorder="1" applyAlignment="1">
      <alignment vertical="center"/>
    </xf>
    <xf numFmtId="179" fontId="0" fillId="0" borderId="45" xfId="0" applyNumberFormat="1" applyFill="1" applyBorder="1" applyAlignment="1">
      <alignment vertical="center"/>
    </xf>
    <xf numFmtId="179" fontId="0" fillId="0" borderId="97" xfId="0" applyNumberFormat="1" applyFill="1" applyBorder="1" applyAlignment="1">
      <alignment vertical="center"/>
    </xf>
    <xf numFmtId="179" fontId="0" fillId="0" borderId="46" xfId="0" applyNumberFormat="1" applyFill="1" applyBorder="1" applyAlignment="1">
      <alignment vertical="center"/>
    </xf>
    <xf numFmtId="179" fontId="0" fillId="0" borderId="93" xfId="0" applyNumberFormat="1" applyFill="1" applyBorder="1" applyAlignment="1">
      <alignment vertical="center"/>
    </xf>
    <xf numFmtId="179" fontId="0" fillId="0" borderId="94" xfId="0" applyNumberFormat="1" applyFill="1" applyBorder="1" applyAlignment="1">
      <alignment vertical="center"/>
    </xf>
    <xf numFmtId="0" fontId="0" fillId="0" borderId="0" xfId="0" applyFont="1" applyBorder="1" applyAlignment="1">
      <alignment vertical="center"/>
    </xf>
    <xf numFmtId="0" fontId="0" fillId="0" borderId="62" xfId="0" applyFont="1" applyFill="1" applyBorder="1" applyAlignment="1">
      <alignment vertical="center"/>
    </xf>
    <xf numFmtId="0" fontId="0" fillId="0" borderId="79" xfId="0" applyFont="1" applyFill="1" applyBorder="1" applyAlignment="1">
      <alignment vertical="center"/>
    </xf>
    <xf numFmtId="0" fontId="0" fillId="0" borderId="65" xfId="0" applyFill="1" applyBorder="1" applyAlignment="1">
      <alignment vertical="center"/>
    </xf>
    <xf numFmtId="0" fontId="21" fillId="0" borderId="0" xfId="0" applyFont="1" applyBorder="1" applyAlignment="1">
      <alignment vertical="center" shrinkToFit="1"/>
    </xf>
    <xf numFmtId="0" fontId="21" fillId="0" borderId="0" xfId="0" applyFont="1" applyBorder="1" applyAlignment="1">
      <alignment vertical="center"/>
    </xf>
    <xf numFmtId="0" fontId="0" fillId="8" borderId="48" xfId="0" applyFont="1" applyFill="1" applyBorder="1" applyAlignment="1">
      <alignment vertical="center"/>
    </xf>
    <xf numFmtId="9" fontId="0" fillId="2" borderId="27" xfId="0" applyNumberFormat="1" applyFill="1" applyBorder="1" applyAlignment="1">
      <alignment vertical="center"/>
    </xf>
    <xf numFmtId="9" fontId="0" fillId="2" borderId="17" xfId="0" applyNumberFormat="1" applyFill="1" applyBorder="1" applyAlignment="1">
      <alignment vertical="center"/>
    </xf>
    <xf numFmtId="178" fontId="0" fillId="0" borderId="19" xfId="0" applyNumberFormat="1" applyFill="1" applyBorder="1" applyAlignment="1">
      <alignment vertical="center"/>
    </xf>
    <xf numFmtId="0" fontId="0" fillId="0" borderId="51" xfId="0" applyBorder="1" applyAlignment="1">
      <alignment horizontal="right" vertical="center"/>
    </xf>
    <xf numFmtId="9" fontId="0" fillId="2" borderId="54" xfId="0" applyNumberFormat="1" applyFill="1" applyBorder="1" applyAlignment="1">
      <alignment vertical="center"/>
    </xf>
    <xf numFmtId="0" fontId="0" fillId="2" borderId="27" xfId="0" applyFont="1" applyFill="1" applyBorder="1" applyAlignment="1">
      <alignment vertical="center"/>
    </xf>
    <xf numFmtId="0" fontId="0" fillId="13" borderId="12" xfId="0" applyFont="1" applyFill="1" applyBorder="1" applyAlignment="1">
      <alignment vertical="center"/>
    </xf>
    <xf numFmtId="0" fontId="0" fillId="13" borderId="9" xfId="0" applyFill="1" applyBorder="1" applyAlignment="1">
      <alignment vertical="center"/>
    </xf>
    <xf numFmtId="0" fontId="0" fillId="13" borderId="20" xfId="0" applyFill="1" applyBorder="1" applyAlignment="1">
      <alignment horizontal="left" vertical="center"/>
    </xf>
    <xf numFmtId="0" fontId="8" fillId="0" borderId="0" xfId="0" applyFont="1" applyFill="1" applyBorder="1" applyAlignment="1">
      <alignment vertical="center" shrinkToFit="1"/>
    </xf>
    <xf numFmtId="0" fontId="0" fillId="0" borderId="64" xfId="0" applyBorder="1" applyAlignment="1">
      <alignment vertical="center"/>
    </xf>
    <xf numFmtId="9" fontId="0" fillId="0" borderId="48" xfId="0" applyNumberFormat="1" applyFill="1" applyBorder="1" applyAlignment="1">
      <alignment vertical="center"/>
    </xf>
    <xf numFmtId="0" fontId="0" fillId="0" borderId="35" xfId="0" applyFill="1" applyBorder="1" applyAlignment="1">
      <alignment vertical="center"/>
    </xf>
    <xf numFmtId="0" fontId="0" fillId="0" borderId="1" xfId="0" applyBorder="1" applyAlignment="1">
      <alignment vertical="center"/>
    </xf>
    <xf numFmtId="0" fontId="0" fillId="10" borderId="7" xfId="0" applyFill="1" applyBorder="1" applyAlignment="1">
      <alignment vertical="center"/>
    </xf>
    <xf numFmtId="178" fontId="0" fillId="10" borderId="9" xfId="0" applyNumberFormat="1" applyFill="1" applyBorder="1" applyAlignment="1">
      <alignment vertical="center"/>
    </xf>
    <xf numFmtId="0" fontId="0" fillId="8" borderId="65" xfId="0" applyFill="1" applyBorder="1" applyAlignment="1">
      <alignment vertical="center"/>
    </xf>
    <xf numFmtId="0" fontId="0" fillId="0" borderId="98" xfId="0" applyBorder="1" applyAlignment="1">
      <alignment horizontal="center" vertical="center"/>
    </xf>
    <xf numFmtId="0" fontId="0" fillId="0" borderId="78" xfId="0" applyBorder="1" applyAlignment="1">
      <alignment vertical="center"/>
    </xf>
    <xf numFmtId="0" fontId="0" fillId="0" borderId="27" xfId="0" applyFont="1" applyFill="1" applyBorder="1" applyAlignment="1">
      <alignment vertical="center"/>
    </xf>
    <xf numFmtId="0" fontId="0" fillId="0" borderId="48" xfId="0" applyFill="1" applyBorder="1" applyAlignment="1">
      <alignment vertical="center"/>
    </xf>
    <xf numFmtId="0" fontId="0" fillId="8" borderId="16" xfId="0" applyFill="1" applyBorder="1" applyAlignment="1">
      <alignment vertical="center"/>
    </xf>
    <xf numFmtId="0" fontId="0" fillId="8" borderId="27" xfId="0" applyFill="1" applyBorder="1" applyAlignment="1">
      <alignment vertical="center"/>
    </xf>
    <xf numFmtId="0" fontId="0" fillId="8" borderId="48" xfId="0" applyFont="1" applyFill="1" applyBorder="1" applyAlignment="1">
      <alignment horizontal="left" vertical="center"/>
    </xf>
    <xf numFmtId="0" fontId="21" fillId="0" borderId="0" xfId="0" applyFont="1" applyAlignment="1">
      <alignment vertical="center" shrinkToFit="1"/>
    </xf>
    <xf numFmtId="0" fontId="0" fillId="2" borderId="6" xfId="0" applyFill="1" applyBorder="1" applyAlignment="1">
      <alignment vertical="center"/>
    </xf>
    <xf numFmtId="0" fontId="0" fillId="2" borderId="8" xfId="0" applyNumberFormat="1" applyFill="1" applyBorder="1" applyAlignment="1">
      <alignment vertical="center"/>
    </xf>
    <xf numFmtId="0" fontId="0" fillId="2" borderId="9" xfId="0" applyNumberFormat="1" applyFill="1" applyBorder="1" applyAlignment="1">
      <alignment vertical="center"/>
    </xf>
    <xf numFmtId="9" fontId="0" fillId="0" borderId="4" xfId="0" applyNumberFormat="1" applyBorder="1" applyAlignment="1">
      <alignment vertical="center"/>
    </xf>
    <xf numFmtId="0" fontId="0" fillId="0" borderId="49" xfId="0" applyBorder="1" applyAlignment="1">
      <alignment vertical="center"/>
    </xf>
    <xf numFmtId="6" fontId="0" fillId="0" borderId="0" xfId="19" applyFont="1" applyFill="1" applyBorder="1" applyAlignment="1">
      <alignment vertical="center"/>
    </xf>
    <xf numFmtId="0" fontId="0" fillId="10" borderId="39" xfId="0" applyFill="1" applyBorder="1" applyAlignment="1">
      <alignment vertical="center"/>
    </xf>
    <xf numFmtId="0" fontId="0" fillId="0" borderId="2" xfId="0" applyBorder="1" applyAlignment="1">
      <alignment vertical="center"/>
    </xf>
    <xf numFmtId="0" fontId="0" fillId="10" borderId="39" xfId="0" applyFill="1" applyBorder="1" applyAlignment="1">
      <alignment vertical="center"/>
    </xf>
    <xf numFmtId="0" fontId="7" fillId="3" borderId="98" xfId="0" applyFont="1" applyFill="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6" borderId="78" xfId="0" applyFont="1" applyFill="1" applyBorder="1" applyAlignment="1">
      <alignment vertical="center"/>
    </xf>
    <xf numFmtId="0" fontId="8" fillId="0" borderId="7" xfId="0" applyFont="1" applyBorder="1" applyAlignment="1">
      <alignment vertical="center"/>
    </xf>
    <xf numFmtId="0" fontId="0" fillId="13" borderId="15" xfId="0" applyFill="1" applyBorder="1" applyAlignment="1">
      <alignment vertical="center"/>
    </xf>
    <xf numFmtId="9" fontId="21" fillId="0" borderId="0" xfId="0" applyNumberFormat="1" applyFont="1" applyAlignment="1">
      <alignment vertical="center"/>
    </xf>
    <xf numFmtId="0" fontId="0" fillId="0" borderId="16" xfId="0" applyBorder="1" applyAlignment="1">
      <alignment horizontal="center" vertical="center"/>
    </xf>
    <xf numFmtId="0" fontId="0" fillId="0" borderId="27" xfId="0" applyBorder="1" applyAlignment="1">
      <alignment horizontal="center" vertical="center"/>
    </xf>
    <xf numFmtId="9" fontId="0" fillId="0" borderId="8" xfId="0" applyNumberFormat="1" applyBorder="1" applyAlignment="1">
      <alignment vertical="center"/>
    </xf>
    <xf numFmtId="9" fontId="0" fillId="0" borderId="30" xfId="0" applyNumberFormat="1" applyBorder="1" applyAlignment="1">
      <alignment vertical="center"/>
    </xf>
    <xf numFmtId="9" fontId="0" fillId="0" borderId="11" xfId="0" applyNumberFormat="1" applyBorder="1" applyAlignment="1">
      <alignment vertical="center"/>
    </xf>
    <xf numFmtId="9" fontId="0" fillId="4" borderId="16" xfId="0" applyNumberFormat="1" applyFill="1" applyBorder="1" applyAlignment="1">
      <alignment vertical="center"/>
    </xf>
    <xf numFmtId="9" fontId="0" fillId="4" borderId="18" xfId="0" applyNumberFormat="1" applyFill="1" applyBorder="1" applyAlignment="1">
      <alignment vertical="center"/>
    </xf>
    <xf numFmtId="9" fontId="0" fillId="4" borderId="27" xfId="0" applyNumberFormat="1" applyFill="1" applyBorder="1" applyAlignment="1">
      <alignment vertical="center"/>
    </xf>
    <xf numFmtId="9" fontId="0" fillId="0" borderId="9" xfId="0" applyNumberFormat="1" applyBorder="1" applyAlignment="1">
      <alignment vertical="center"/>
    </xf>
    <xf numFmtId="0" fontId="0" fillId="13" borderId="9" xfId="0" applyFill="1" applyBorder="1" applyAlignment="1">
      <alignment vertical="center"/>
    </xf>
    <xf numFmtId="9" fontId="0" fillId="2" borderId="37" xfId="0" applyNumberFormat="1" applyFill="1" applyBorder="1" applyAlignment="1">
      <alignment vertical="center"/>
    </xf>
    <xf numFmtId="9" fontId="0" fillId="2" borderId="41" xfId="0" applyNumberFormat="1" applyFill="1" applyBorder="1" applyAlignment="1">
      <alignment vertical="center"/>
    </xf>
    <xf numFmtId="9" fontId="0" fillId="2" borderId="38" xfId="0" applyNumberFormat="1" applyFill="1" applyBorder="1" applyAlignment="1">
      <alignment vertical="center"/>
    </xf>
    <xf numFmtId="0" fontId="7" fillId="2" borderId="9" xfId="0" applyFont="1" applyFill="1" applyBorder="1" applyAlignment="1">
      <alignment vertical="center"/>
    </xf>
    <xf numFmtId="0" fontId="0" fillId="0" borderId="1" xfId="0" applyBorder="1" applyAlignment="1">
      <alignment horizontal="center" vertical="center"/>
    </xf>
    <xf numFmtId="0" fontId="0" fillId="8" borderId="64" xfId="0" applyFill="1" applyBorder="1" applyAlignment="1">
      <alignment vertical="center"/>
    </xf>
    <xf numFmtId="0" fontId="0" fillId="4" borderId="4" xfId="0" applyNumberFormat="1" applyFill="1" applyBorder="1" applyAlignment="1">
      <alignment vertical="center"/>
    </xf>
    <xf numFmtId="0" fontId="0" fillId="4" borderId="15" xfId="0" applyNumberFormat="1" applyFill="1" applyBorder="1" applyAlignment="1">
      <alignment vertical="center"/>
    </xf>
    <xf numFmtId="0" fontId="0" fillId="0" borderId="3" xfId="0" applyNumberFormat="1" applyFill="1" applyBorder="1" applyAlignment="1">
      <alignment vertical="center"/>
    </xf>
    <xf numFmtId="0" fontId="0" fillId="0" borderId="8" xfId="0" applyNumberFormat="1" applyFill="1" applyBorder="1" applyAlignment="1">
      <alignment vertical="center"/>
    </xf>
    <xf numFmtId="0" fontId="0" fillId="0" borderId="14" xfId="0" applyNumberFormat="1" applyFill="1" applyBorder="1" applyAlignment="1">
      <alignment vertical="center"/>
    </xf>
    <xf numFmtId="0" fontId="0" fillId="0" borderId="31" xfId="0" applyBorder="1" applyAlignment="1">
      <alignment vertical="center"/>
    </xf>
    <xf numFmtId="9" fontId="0" fillId="0" borderId="36" xfId="0" applyNumberFormat="1" applyBorder="1" applyAlignment="1">
      <alignment vertical="center"/>
    </xf>
    <xf numFmtId="0" fontId="7" fillId="0" borderId="0" xfId="0" applyNumberFormat="1" applyFont="1" applyFill="1" applyBorder="1" applyAlignment="1">
      <alignment vertical="center"/>
    </xf>
    <xf numFmtId="0" fontId="0" fillId="0" borderId="4" xfId="0" applyNumberFormat="1" applyFill="1" applyBorder="1" applyAlignment="1">
      <alignment vertical="center"/>
    </xf>
    <xf numFmtId="0" fontId="0" fillId="0" borderId="9" xfId="0" applyNumberFormat="1" applyFill="1" applyBorder="1" applyAlignment="1">
      <alignment vertical="center"/>
    </xf>
    <xf numFmtId="0" fontId="0" fillId="0" borderId="15" xfId="0" applyNumberFormat="1" applyFill="1" applyBorder="1" applyAlignment="1">
      <alignment vertical="center"/>
    </xf>
    <xf numFmtId="9" fontId="0" fillId="0" borderId="26" xfId="0" applyNumberFormat="1" applyFill="1" applyBorder="1" applyAlignment="1">
      <alignment vertical="center"/>
    </xf>
    <xf numFmtId="0" fontId="0" fillId="0" borderId="76" xfId="0" applyFill="1" applyBorder="1" applyAlignment="1">
      <alignment horizontal="center" vertical="center" shrinkToFit="1"/>
    </xf>
    <xf numFmtId="0" fontId="0" fillId="0" borderId="99" xfId="0" applyFill="1" applyBorder="1" applyAlignment="1">
      <alignment vertical="center"/>
    </xf>
    <xf numFmtId="0" fontId="0" fillId="2" borderId="4" xfId="0" applyFont="1" applyFill="1" applyBorder="1" applyAlignment="1">
      <alignment vertical="center"/>
    </xf>
    <xf numFmtId="9" fontId="0" fillId="2" borderId="15" xfId="0" applyNumberFormat="1"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6" fillId="0" borderId="100" xfId="0" applyNumberFormat="1" applyFont="1" applyBorder="1" applyAlignment="1">
      <alignment vertical="center"/>
    </xf>
    <xf numFmtId="0" fontId="0" fillId="0" borderId="92" xfId="0" applyBorder="1" applyAlignment="1">
      <alignment vertical="center"/>
    </xf>
    <xf numFmtId="0" fontId="0" fillId="12" borderId="87" xfId="0" applyFill="1" applyBorder="1" applyAlignment="1">
      <alignment vertical="center"/>
    </xf>
    <xf numFmtId="0" fontId="0" fillId="12" borderId="92" xfId="0" applyFill="1" applyBorder="1" applyAlignment="1">
      <alignment vertical="center"/>
    </xf>
    <xf numFmtId="0" fontId="0" fillId="0" borderId="67" xfId="0" applyBorder="1" applyAlignment="1">
      <alignment vertical="center"/>
    </xf>
    <xf numFmtId="9" fontId="0" fillId="2" borderId="35" xfId="0" applyNumberFormat="1" applyFill="1" applyBorder="1" applyAlignment="1">
      <alignment vertical="center"/>
    </xf>
    <xf numFmtId="9" fontId="0" fillId="2" borderId="36" xfId="0" applyNumberFormat="1" applyFill="1" applyBorder="1" applyAlignment="1">
      <alignment vertical="center"/>
    </xf>
    <xf numFmtId="9" fontId="0" fillId="2" borderId="26" xfId="0" applyNumberFormat="1" applyFill="1" applyBorder="1" applyAlignment="1">
      <alignment vertical="center"/>
    </xf>
    <xf numFmtId="0" fontId="0" fillId="0" borderId="100" xfId="0" applyBorder="1" applyAlignment="1">
      <alignment vertical="center"/>
    </xf>
    <xf numFmtId="0" fontId="7" fillId="0" borderId="41" xfId="0" applyFont="1" applyBorder="1" applyAlignment="1">
      <alignment vertical="center"/>
    </xf>
    <xf numFmtId="0" fontId="7" fillId="0" borderId="38" xfId="0" applyNumberFormat="1" applyFont="1" applyBorder="1" applyAlignment="1">
      <alignment vertical="center"/>
    </xf>
    <xf numFmtId="0" fontId="0" fillId="0" borderId="90" xfId="0" applyFill="1" applyBorder="1" applyAlignment="1">
      <alignment vertical="center"/>
    </xf>
    <xf numFmtId="0" fontId="0" fillId="0" borderId="90" xfId="0" applyBorder="1" applyAlignment="1">
      <alignment vertical="center"/>
    </xf>
    <xf numFmtId="0" fontId="0" fillId="0" borderId="102" xfId="0" applyBorder="1" applyAlignment="1">
      <alignment vertical="center"/>
    </xf>
    <xf numFmtId="0" fontId="0" fillId="0" borderId="87" xfId="0" applyFill="1" applyBorder="1" applyAlignment="1">
      <alignment vertical="center"/>
    </xf>
    <xf numFmtId="0" fontId="0" fillId="0" borderId="87" xfId="0" applyBorder="1" applyAlignment="1">
      <alignment vertical="center"/>
    </xf>
    <xf numFmtId="0" fontId="0" fillId="0" borderId="100" xfId="0" applyFont="1" applyFill="1" applyBorder="1" applyAlignment="1">
      <alignment vertical="center"/>
    </xf>
    <xf numFmtId="0" fontId="0" fillId="8" borderId="49" xfId="0" applyFill="1" applyBorder="1" applyAlignment="1">
      <alignment vertical="center"/>
    </xf>
    <xf numFmtId="0" fontId="0" fillId="0" borderId="49" xfId="0" applyFill="1" applyBorder="1" applyAlignment="1">
      <alignment vertical="center"/>
    </xf>
    <xf numFmtId="0" fontId="0" fillId="0" borderId="90" xfId="0" applyFont="1" applyFill="1" applyBorder="1" applyAlignment="1">
      <alignment vertical="center"/>
    </xf>
    <xf numFmtId="0" fontId="0" fillId="8" borderId="20" xfId="0" applyFill="1" applyBorder="1" applyAlignment="1">
      <alignment vertical="center"/>
    </xf>
    <xf numFmtId="0" fontId="0" fillId="8" borderId="48" xfId="0" applyFill="1" applyBorder="1" applyAlignment="1">
      <alignment vertical="center"/>
    </xf>
    <xf numFmtId="0" fontId="0" fillId="0" borderId="92" xfId="0" applyFill="1" applyBorder="1" applyAlignment="1">
      <alignment vertical="center"/>
    </xf>
    <xf numFmtId="0" fontId="0" fillId="0" borderId="87" xfId="0" applyFont="1" applyBorder="1" applyAlignment="1">
      <alignment vertical="center"/>
    </xf>
    <xf numFmtId="0" fontId="0" fillId="0" borderId="90" xfId="0" applyFont="1" applyBorder="1" applyAlignment="1">
      <alignment vertical="center"/>
    </xf>
    <xf numFmtId="0" fontId="8" fillId="0" borderId="102" xfId="0" applyFont="1" applyBorder="1" applyAlignment="1">
      <alignment vertical="center"/>
    </xf>
    <xf numFmtId="0" fontId="6" fillId="0" borderId="7" xfId="0" applyFont="1" applyFill="1" applyBorder="1" applyAlignment="1">
      <alignment vertical="center"/>
    </xf>
    <xf numFmtId="0" fontId="6" fillId="0" borderId="90" xfId="0" applyFont="1" applyFill="1" applyBorder="1" applyAlignment="1">
      <alignment vertical="center"/>
    </xf>
    <xf numFmtId="0" fontId="8" fillId="0" borderId="87" xfId="0" applyFont="1" applyBorder="1" applyAlignment="1">
      <alignment vertical="center"/>
    </xf>
    <xf numFmtId="0" fontId="16" fillId="0" borderId="90" xfId="0" applyFont="1" applyBorder="1" applyAlignment="1">
      <alignment vertical="center"/>
    </xf>
    <xf numFmtId="0" fontId="0" fillId="8" borderId="67" xfId="0" applyFont="1" applyFill="1" applyBorder="1" applyAlignment="1">
      <alignment vertical="center"/>
    </xf>
    <xf numFmtId="0" fontId="0" fillId="0" borderId="90" xfId="0" applyNumberFormat="1" applyBorder="1" applyAlignment="1">
      <alignment vertical="center" shrinkToFit="1"/>
    </xf>
    <xf numFmtId="0" fontId="16" fillId="0" borderId="7" xfId="0" applyNumberFormat="1" applyFont="1" applyBorder="1" applyAlignment="1">
      <alignment vertical="center"/>
    </xf>
    <xf numFmtId="0" fontId="8" fillId="0" borderId="1" xfId="0" applyFont="1" applyBorder="1" applyAlignment="1">
      <alignment vertical="center"/>
    </xf>
    <xf numFmtId="0" fontId="8" fillId="0" borderId="7" xfId="0" applyFont="1" applyFill="1" applyBorder="1" applyAlignment="1">
      <alignment vertical="center"/>
    </xf>
    <xf numFmtId="0" fontId="0" fillId="0" borderId="52" xfId="0" applyBorder="1" applyAlignment="1">
      <alignment horizontal="center" vertical="center"/>
    </xf>
    <xf numFmtId="0" fontId="0" fillId="0" borderId="60" xfId="0" applyBorder="1" applyAlignment="1">
      <alignment horizontal="center" vertical="center"/>
    </xf>
    <xf numFmtId="0" fontId="0" fillId="0" borderId="40" xfId="0" applyBorder="1" applyAlignment="1">
      <alignment horizontal="center" vertical="center"/>
    </xf>
    <xf numFmtId="0" fontId="0" fillId="2" borderId="54" xfId="0" applyFill="1" applyBorder="1" applyAlignment="1">
      <alignment horizontal="right" vertical="center"/>
    </xf>
    <xf numFmtId="0" fontId="0" fillId="2" borderId="39" xfId="0" applyFill="1" applyBorder="1" applyAlignment="1">
      <alignment vertical="center"/>
    </xf>
    <xf numFmtId="0" fontId="0" fillId="13" borderId="42" xfId="0" applyFill="1" applyBorder="1" applyAlignment="1">
      <alignment vertical="center"/>
    </xf>
    <xf numFmtId="9" fontId="0" fillId="0" borderId="31" xfId="0" applyNumberFormat="1" applyFill="1" applyBorder="1" applyAlignment="1">
      <alignment vertical="center"/>
    </xf>
    <xf numFmtId="9" fontId="0" fillId="4" borderId="35" xfId="0" applyNumberFormat="1" applyFill="1" applyBorder="1" applyAlignment="1">
      <alignment vertical="center"/>
    </xf>
    <xf numFmtId="9" fontId="0" fillId="4" borderId="36" xfId="0" applyNumberFormat="1" applyFill="1" applyBorder="1" applyAlignment="1">
      <alignment vertical="center"/>
    </xf>
    <xf numFmtId="9" fontId="0" fillId="4" borderId="26" xfId="0" applyNumberFormat="1" applyFill="1" applyBorder="1" applyAlignment="1">
      <alignment vertical="center"/>
    </xf>
    <xf numFmtId="9" fontId="0" fillId="0" borderId="1" xfId="0" applyNumberFormat="1" applyBorder="1" applyAlignment="1">
      <alignment vertical="center"/>
    </xf>
    <xf numFmtId="9" fontId="0" fillId="0" borderId="3" xfId="0" applyNumberFormat="1" applyBorder="1" applyAlignment="1">
      <alignment vertical="center"/>
    </xf>
    <xf numFmtId="9" fontId="0" fillId="2" borderId="13" xfId="0" applyNumberFormat="1" applyFill="1" applyBorder="1" applyAlignment="1">
      <alignment vertical="center"/>
    </xf>
    <xf numFmtId="9" fontId="0" fillId="2" borderId="14" xfId="0" applyNumberFormat="1" applyFill="1" applyBorder="1" applyAlignment="1">
      <alignment vertical="center"/>
    </xf>
    <xf numFmtId="0" fontId="0" fillId="0" borderId="8" xfId="0" applyBorder="1" applyAlignment="1">
      <alignment horizontal="right" vertical="center"/>
    </xf>
    <xf numFmtId="9" fontId="0" fillId="0" borderId="7" xfId="0" applyNumberFormat="1" applyBorder="1" applyAlignment="1">
      <alignment horizontal="right" vertical="center"/>
    </xf>
    <xf numFmtId="0" fontId="0" fillId="0" borderId="9" xfId="0" applyNumberFormat="1" applyFont="1" applyBorder="1" applyAlignment="1">
      <alignment vertical="center"/>
    </xf>
    <xf numFmtId="0" fontId="0" fillId="13" borderId="40" xfId="0" applyFill="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13" borderId="38" xfId="0" applyFill="1" applyBorder="1" applyAlignment="1">
      <alignment vertical="center"/>
    </xf>
    <xf numFmtId="9" fontId="0" fillId="0" borderId="103" xfId="0" applyNumberFormat="1" applyBorder="1" applyAlignment="1">
      <alignment vertical="center"/>
    </xf>
    <xf numFmtId="0" fontId="0" fillId="0" borderId="20" xfId="0" applyBorder="1" applyAlignment="1">
      <alignment vertical="center"/>
    </xf>
    <xf numFmtId="9" fontId="0" fillId="2" borderId="31" xfId="0" applyNumberFormat="1" applyFill="1" applyBorder="1" applyAlignment="1">
      <alignment vertical="center"/>
    </xf>
    <xf numFmtId="0" fontId="0" fillId="2" borderId="2" xfId="0" applyFont="1" applyFill="1" applyBorder="1" applyAlignment="1">
      <alignment vertical="center"/>
    </xf>
    <xf numFmtId="0" fontId="0" fillId="8" borderId="12" xfId="0" applyFill="1" applyBorder="1" applyAlignment="1">
      <alignment vertical="center"/>
    </xf>
    <xf numFmtId="9" fontId="0" fillId="0" borderId="53" xfId="0" applyNumberFormat="1" applyFill="1" applyBorder="1" applyAlignment="1">
      <alignment vertical="center"/>
    </xf>
    <xf numFmtId="9" fontId="0" fillId="0" borderId="48" xfId="0" applyNumberFormat="1" applyBorder="1" applyAlignment="1">
      <alignment vertical="center"/>
    </xf>
    <xf numFmtId="9" fontId="0" fillId="0" borderId="27" xfId="0" applyNumberFormat="1" applyFill="1" applyBorder="1" applyAlignment="1">
      <alignment vertical="center"/>
    </xf>
    <xf numFmtId="9" fontId="0" fillId="0" borderId="40" xfId="0" applyNumberFormat="1" applyFill="1" applyBorder="1" applyAlignment="1">
      <alignment vertical="center"/>
    </xf>
    <xf numFmtId="0" fontId="0" fillId="2" borderId="40" xfId="0" applyFill="1" applyBorder="1" applyAlignment="1">
      <alignment horizontal="right" vertical="center"/>
    </xf>
    <xf numFmtId="0" fontId="8" fillId="0" borderId="35" xfId="0" applyFont="1" applyFill="1" applyBorder="1" applyAlignment="1">
      <alignment vertical="center"/>
    </xf>
    <xf numFmtId="0" fontId="0" fillId="0" borderId="36" xfId="0" applyFill="1" applyBorder="1" applyAlignment="1">
      <alignment vertical="center"/>
    </xf>
    <xf numFmtId="0" fontId="0" fillId="0" borderId="3" xfId="0" applyFill="1" applyBorder="1" applyAlignment="1">
      <alignment vertical="center"/>
    </xf>
    <xf numFmtId="9" fontId="0" fillId="0" borderId="34" xfId="0" applyNumberFormat="1" applyFill="1" applyBorder="1" applyAlignment="1">
      <alignment vertical="center"/>
    </xf>
    <xf numFmtId="0" fontId="0" fillId="0" borderId="17" xfId="0" applyNumberFormat="1" applyFont="1" applyFill="1" applyBorder="1" applyAlignment="1">
      <alignment vertical="center"/>
    </xf>
    <xf numFmtId="0" fontId="0" fillId="0" borderId="11" xfId="0" applyBorder="1" applyAlignment="1">
      <alignment horizontal="center" vertical="center"/>
    </xf>
    <xf numFmtId="0" fontId="0" fillId="0" borderId="16" xfId="0" applyFill="1" applyBorder="1" applyAlignment="1">
      <alignment horizontal="center" vertical="center"/>
    </xf>
    <xf numFmtId="9" fontId="0" fillId="0" borderId="17" xfId="0" applyNumberFormat="1" applyFill="1" applyBorder="1" applyAlignment="1">
      <alignment vertical="center"/>
    </xf>
    <xf numFmtId="9" fontId="16" fillId="0" borderId="18" xfId="0" applyNumberFormat="1" applyFont="1" applyFill="1" applyBorder="1" applyAlignment="1">
      <alignment vertical="center"/>
    </xf>
    <xf numFmtId="0" fontId="0" fillId="8" borderId="20" xfId="0" applyFont="1" applyFill="1" applyBorder="1" applyAlignment="1">
      <alignment vertical="center"/>
    </xf>
    <xf numFmtId="0" fontId="0" fillId="4" borderId="12" xfId="0" applyNumberFormat="1" applyFill="1" applyBorder="1" applyAlignment="1">
      <alignment vertical="center"/>
    </xf>
    <xf numFmtId="9" fontId="0" fillId="0" borderId="15" xfId="0" applyNumberFormat="1" applyFill="1" applyBorder="1" applyAlignment="1">
      <alignment vertical="center"/>
    </xf>
    <xf numFmtId="0" fontId="0" fillId="0" borderId="9" xfId="0" applyBorder="1" applyAlignment="1">
      <alignment horizontal="right" vertical="center"/>
    </xf>
    <xf numFmtId="0" fontId="0" fillId="0" borderId="8" xfId="0" applyBorder="1" applyAlignment="1">
      <alignment horizontal="center" vertical="center"/>
    </xf>
    <xf numFmtId="0" fontId="0" fillId="0" borderId="7" xfId="0" applyBorder="1" applyAlignment="1">
      <alignment vertical="center"/>
    </xf>
    <xf numFmtId="0" fontId="0" fillId="10" borderId="9" xfId="0" applyFill="1" applyBorder="1" applyAlignment="1">
      <alignment vertical="center"/>
    </xf>
    <xf numFmtId="0" fontId="0" fillId="4" borderId="25" xfId="0" applyFont="1" applyFill="1" applyBorder="1" applyAlignment="1">
      <alignment horizontal="center" vertical="center" wrapText="1"/>
    </xf>
    <xf numFmtId="9" fontId="0" fillId="2" borderId="54" xfId="0" applyNumberFormat="1" applyFill="1" applyBorder="1" applyAlignment="1">
      <alignment vertical="center"/>
    </xf>
    <xf numFmtId="0" fontId="0" fillId="4" borderId="0" xfId="0" applyFill="1" applyBorder="1" applyAlignment="1">
      <alignment horizontal="center" vertical="center"/>
    </xf>
    <xf numFmtId="0" fontId="16" fillId="4" borderId="0" xfId="0" applyFont="1" applyFill="1" applyBorder="1" applyAlignment="1">
      <alignment horizontal="center" vertical="center"/>
    </xf>
    <xf numFmtId="0" fontId="0" fillId="4" borderId="49" xfId="0" applyFill="1" applyBorder="1" applyAlignment="1">
      <alignment horizontal="center" vertical="center"/>
    </xf>
    <xf numFmtId="0" fontId="0" fillId="8" borderId="64" xfId="0" applyFill="1" applyBorder="1" applyAlignment="1">
      <alignment horizontal="center" vertical="center"/>
    </xf>
    <xf numFmtId="0" fontId="0" fillId="8" borderId="20" xfId="0" applyFill="1" applyBorder="1" applyAlignment="1">
      <alignment horizontal="center" vertical="center"/>
    </xf>
    <xf numFmtId="0" fontId="16" fillId="0" borderId="13" xfId="0" applyFont="1" applyFill="1" applyBorder="1" applyAlignment="1">
      <alignment vertical="center"/>
    </xf>
    <xf numFmtId="176" fontId="0" fillId="0" borderId="0" xfId="0" applyNumberFormat="1" applyFont="1" applyFill="1" applyBorder="1" applyAlignment="1">
      <alignment vertical="center"/>
    </xf>
    <xf numFmtId="0" fontId="0" fillId="0" borderId="11" xfId="0" applyNumberFormat="1" applyFill="1" applyBorder="1" applyAlignment="1">
      <alignment vertical="center"/>
    </xf>
    <xf numFmtId="0" fontId="0" fillId="4" borderId="12" xfId="0" applyNumberFormat="1" applyFill="1" applyBorder="1" applyAlignment="1">
      <alignment vertical="center"/>
    </xf>
    <xf numFmtId="9" fontId="0" fillId="0" borderId="40" xfId="0" applyNumberFormat="1" applyFont="1" applyFill="1" applyBorder="1" applyAlignment="1">
      <alignment vertical="center"/>
    </xf>
    <xf numFmtId="0" fontId="0" fillId="0" borderId="52" xfId="0" applyFont="1" applyFill="1" applyBorder="1" applyAlignment="1">
      <alignment vertical="center"/>
    </xf>
    <xf numFmtId="0" fontId="16" fillId="0" borderId="104" xfId="0" applyFont="1" applyBorder="1" applyAlignment="1">
      <alignment vertical="center"/>
    </xf>
    <xf numFmtId="0" fontId="0" fillId="0" borderId="40" xfId="0" applyFont="1" applyFill="1" applyBorder="1" applyAlignment="1">
      <alignment vertical="center"/>
    </xf>
    <xf numFmtId="0" fontId="0" fillId="2" borderId="11" xfId="0" applyFill="1" applyBorder="1" applyAlignment="1">
      <alignment vertical="center"/>
    </xf>
    <xf numFmtId="0" fontId="0" fillId="2" borderId="105" xfId="0" applyFill="1" applyBorder="1" applyAlignment="1">
      <alignment vertical="center"/>
    </xf>
    <xf numFmtId="0" fontId="0" fillId="0" borderId="1" xfId="0" applyNumberFormat="1" applyBorder="1" applyAlignment="1">
      <alignment vertical="center"/>
    </xf>
    <xf numFmtId="0" fontId="0" fillId="0" borderId="21" xfId="0" applyNumberFormat="1" applyBorder="1" applyAlignment="1">
      <alignment vertical="center"/>
    </xf>
    <xf numFmtId="0" fontId="0" fillId="0" borderId="46" xfId="0" applyNumberFormat="1" applyBorder="1" applyAlignment="1">
      <alignment vertical="center"/>
    </xf>
    <xf numFmtId="0" fontId="0" fillId="4" borderId="66" xfId="0" applyNumberFormat="1" applyFill="1" applyBorder="1" applyAlignment="1">
      <alignment vertical="center"/>
    </xf>
    <xf numFmtId="0" fontId="0" fillId="4" borderId="94" xfId="0" applyNumberFormat="1" applyFill="1" applyBorder="1" applyAlignment="1">
      <alignment vertical="center"/>
    </xf>
    <xf numFmtId="0" fontId="0" fillId="4" borderId="7" xfId="0" applyNumberFormat="1" applyFill="1" applyBorder="1" applyAlignment="1">
      <alignment vertical="center"/>
    </xf>
    <xf numFmtId="0" fontId="0" fillId="4" borderId="8" xfId="0" applyNumberFormat="1" applyFill="1" applyBorder="1" applyAlignment="1">
      <alignment vertical="center"/>
    </xf>
    <xf numFmtId="0" fontId="0" fillId="10" borderId="13" xfId="0" applyNumberFormat="1" applyFill="1" applyBorder="1" applyAlignment="1">
      <alignment vertical="center"/>
    </xf>
    <xf numFmtId="10" fontId="0" fillId="0" borderId="27" xfId="0" applyNumberFormat="1" applyBorder="1" applyAlignment="1">
      <alignment vertical="center"/>
    </xf>
    <xf numFmtId="178" fontId="0" fillId="10" borderId="39" xfId="0" applyNumberFormat="1" applyFill="1" applyBorder="1" applyAlignment="1">
      <alignment vertical="center"/>
    </xf>
    <xf numFmtId="0" fontId="0" fillId="10" borderId="7" xfId="0" applyFill="1" applyBorder="1" applyAlignment="1">
      <alignment horizontal="center" vertical="center" shrinkToFit="1"/>
    </xf>
    <xf numFmtId="178" fontId="0" fillId="0" borderId="15" xfId="0" applyNumberFormat="1" applyFill="1" applyBorder="1" applyAlignment="1">
      <alignment vertical="center"/>
    </xf>
    <xf numFmtId="0" fontId="21" fillId="0" borderId="0" xfId="0" applyFont="1" applyFill="1" applyBorder="1" applyAlignment="1">
      <alignment vertical="center"/>
    </xf>
    <xf numFmtId="0" fontId="0" fillId="4" borderId="44" xfId="0" applyFill="1" applyBorder="1" applyAlignment="1">
      <alignment vertical="center"/>
    </xf>
    <xf numFmtId="0" fontId="0" fillId="0" borderId="40" xfId="0" applyNumberFormat="1" applyFill="1" applyBorder="1" applyAlignment="1">
      <alignment horizontal="right" vertical="center"/>
    </xf>
    <xf numFmtId="0" fontId="0" fillId="0" borderId="15" xfId="0" applyNumberFormat="1" applyFill="1" applyBorder="1" applyAlignment="1">
      <alignment horizontal="right" vertical="center"/>
    </xf>
    <xf numFmtId="0" fontId="0" fillId="0" borderId="10" xfId="0" applyFill="1" applyBorder="1" applyAlignment="1">
      <alignment vertical="center"/>
    </xf>
    <xf numFmtId="0" fontId="0" fillId="0" borderId="7" xfId="0" applyFill="1" applyBorder="1" applyAlignment="1">
      <alignment vertical="center" shrinkToFit="1"/>
    </xf>
    <xf numFmtId="9" fontId="0" fillId="0" borderId="13" xfId="0" applyNumberFormat="1" applyFill="1" applyBorder="1" applyAlignment="1">
      <alignment vertical="center"/>
    </xf>
    <xf numFmtId="0" fontId="0" fillId="10" borderId="9" xfId="0" applyNumberFormat="1" applyFill="1" applyBorder="1" applyAlignment="1">
      <alignment horizontal="right" vertical="center"/>
    </xf>
    <xf numFmtId="0" fontId="0" fillId="8" borderId="52" xfId="0" applyFont="1" applyFill="1" applyBorder="1" applyAlignment="1">
      <alignment vertical="center"/>
    </xf>
    <xf numFmtId="0" fontId="0" fillId="8" borderId="43" xfId="0" applyFont="1" applyFill="1" applyBorder="1" applyAlignment="1">
      <alignment horizontal="center" vertical="center"/>
    </xf>
    <xf numFmtId="0" fontId="0" fillId="8" borderId="35" xfId="0" applyFont="1" applyFill="1" applyBorder="1" applyAlignment="1">
      <alignment horizontal="center" vertical="center"/>
    </xf>
    <xf numFmtId="0" fontId="0" fillId="8" borderId="64" xfId="0" applyFont="1" applyFill="1" applyBorder="1" applyAlignment="1">
      <alignment vertical="center"/>
    </xf>
    <xf numFmtId="0" fontId="0" fillId="8" borderId="67" xfId="0" applyFont="1" applyFill="1" applyBorder="1" applyAlignment="1">
      <alignment vertical="center"/>
    </xf>
    <xf numFmtId="0" fontId="0" fillId="8" borderId="65" xfId="0" applyFont="1" applyFill="1" applyBorder="1" applyAlignment="1">
      <alignment vertical="center"/>
    </xf>
    <xf numFmtId="0" fontId="13" fillId="0" borderId="4" xfId="0" applyFont="1" applyBorder="1" applyAlignment="1">
      <alignment vertical="center"/>
    </xf>
    <xf numFmtId="0" fontId="13" fillId="0" borderId="15" xfId="0" applyFont="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0" fillId="0" borderId="79" xfId="0" applyBorder="1" applyAlignment="1">
      <alignment vertical="center"/>
    </xf>
    <xf numFmtId="0" fontId="0" fillId="0" borderId="59" xfId="0" applyBorder="1" applyAlignment="1">
      <alignment horizontal="right" vertical="center"/>
    </xf>
    <xf numFmtId="0" fontId="0" fillId="0" borderId="59" xfId="0" applyBorder="1" applyAlignment="1">
      <alignment vertical="center"/>
    </xf>
    <xf numFmtId="0" fontId="0" fillId="8" borderId="15" xfId="0" applyFont="1" applyFill="1" applyBorder="1" applyAlignment="1">
      <alignment vertical="center"/>
    </xf>
    <xf numFmtId="0" fontId="7" fillId="0" borderId="14" xfId="0" applyNumberFormat="1" applyFont="1" applyFill="1" applyBorder="1" applyAlignment="1">
      <alignment vertical="center"/>
    </xf>
    <xf numFmtId="0" fontId="0" fillId="10" borderId="9" xfId="0" applyNumberFormat="1" applyFill="1" applyBorder="1" applyAlignment="1">
      <alignment vertical="center"/>
    </xf>
    <xf numFmtId="0" fontId="0" fillId="0" borderId="50" xfId="0" applyNumberFormat="1" applyBorder="1" applyAlignment="1">
      <alignment vertical="center"/>
    </xf>
    <xf numFmtId="0" fontId="0" fillId="8" borderId="67" xfId="0" applyFill="1" applyBorder="1" applyAlignment="1">
      <alignment vertical="center"/>
    </xf>
    <xf numFmtId="0" fontId="0" fillId="8" borderId="52" xfId="0" applyFill="1" applyBorder="1" applyAlignment="1">
      <alignment horizontal="center" vertical="center"/>
    </xf>
    <xf numFmtId="0" fontId="0" fillId="8" borderId="35" xfId="0" applyFill="1" applyBorder="1" applyAlignment="1">
      <alignment horizontal="center" vertical="center"/>
    </xf>
    <xf numFmtId="0" fontId="13" fillId="0" borderId="26" xfId="0" applyFont="1" applyFill="1" applyBorder="1" applyAlignment="1">
      <alignment vertical="center"/>
    </xf>
    <xf numFmtId="0" fontId="13" fillId="0" borderId="27" xfId="0" applyFont="1" applyBorder="1" applyAlignment="1">
      <alignment vertical="center"/>
    </xf>
    <xf numFmtId="0" fontId="0" fillId="8" borderId="27" xfId="0" applyFill="1" applyBorder="1" applyAlignment="1">
      <alignment vertical="center"/>
    </xf>
    <xf numFmtId="9" fontId="0" fillId="0" borderId="17" xfId="0" applyNumberFormat="1" applyBorder="1" applyAlignment="1">
      <alignment vertical="center"/>
    </xf>
    <xf numFmtId="0" fontId="0" fillId="0" borderId="41" xfId="0" applyNumberFormat="1" applyFill="1" applyBorder="1" applyAlignment="1">
      <alignment vertical="center"/>
    </xf>
    <xf numFmtId="0" fontId="0" fillId="8" borderId="34" xfId="0" applyFill="1" applyBorder="1" applyAlignment="1">
      <alignment vertical="center"/>
    </xf>
    <xf numFmtId="0" fontId="0" fillId="8" borderId="79" xfId="0" applyFill="1" applyBorder="1" applyAlignment="1">
      <alignment vertical="center"/>
    </xf>
    <xf numFmtId="9" fontId="7" fillId="0" borderId="4" xfId="0" applyNumberFormat="1" applyFont="1" applyFill="1" applyBorder="1" applyAlignment="1">
      <alignment horizontal="right" vertical="center"/>
    </xf>
    <xf numFmtId="0" fontId="8" fillId="4" borderId="20" xfId="0" applyFont="1" applyFill="1" applyBorder="1" applyAlignment="1">
      <alignment horizontal="center" vertical="center"/>
    </xf>
    <xf numFmtId="0" fontId="0" fillId="10" borderId="20" xfId="0" applyFont="1" applyFill="1" applyBorder="1" applyAlignment="1">
      <alignment horizontal="center" vertical="center"/>
    </xf>
    <xf numFmtId="0" fontId="16" fillId="0" borderId="98" xfId="0" applyFont="1" applyFill="1" applyBorder="1" applyAlignment="1">
      <alignment vertical="center"/>
    </xf>
    <xf numFmtId="9" fontId="0" fillId="0" borderId="78" xfId="0" applyNumberFormat="1" applyBorder="1" applyAlignment="1">
      <alignment vertical="center"/>
    </xf>
    <xf numFmtId="0" fontId="0" fillId="0" borderId="3" xfId="0" applyBorder="1" applyAlignment="1">
      <alignment horizontal="right" vertical="center"/>
    </xf>
    <xf numFmtId="9" fontId="0" fillId="0" borderId="54" xfId="0" applyNumberFormat="1" applyBorder="1" applyAlignment="1">
      <alignment vertical="center"/>
    </xf>
    <xf numFmtId="0" fontId="8" fillId="0" borderId="3" xfId="0" applyFont="1" applyBorder="1" applyAlignment="1">
      <alignment vertical="center"/>
    </xf>
    <xf numFmtId="9" fontId="0" fillId="8" borderId="48" xfId="0" applyNumberFormat="1" applyFill="1" applyBorder="1" applyAlignment="1">
      <alignment vertical="center"/>
    </xf>
    <xf numFmtId="0" fontId="0" fillId="0" borderId="20" xfId="0" applyFont="1" applyFill="1" applyBorder="1" applyAlignment="1">
      <alignment vertical="center"/>
    </xf>
    <xf numFmtId="0" fontId="0" fillId="0" borderId="48" xfId="0" applyFont="1" applyFill="1" applyBorder="1" applyAlignment="1">
      <alignment vertical="center"/>
    </xf>
    <xf numFmtId="9" fontId="0" fillId="2" borderId="42" xfId="0" applyNumberFormat="1" applyFill="1" applyBorder="1" applyAlignment="1">
      <alignment vertical="center"/>
    </xf>
    <xf numFmtId="0" fontId="0" fillId="0" borderId="12" xfId="0" applyNumberFormat="1" applyFill="1" applyBorder="1" applyAlignment="1">
      <alignment vertical="center" shrinkToFit="1"/>
    </xf>
    <xf numFmtId="0" fontId="0" fillId="13" borderId="4" xfId="0" applyFill="1" applyBorder="1" applyAlignment="1">
      <alignment vertical="center"/>
    </xf>
    <xf numFmtId="9" fontId="0" fillId="0" borderId="14" xfId="0" applyNumberFormat="1" applyBorder="1" applyAlignment="1">
      <alignment vertical="center"/>
    </xf>
    <xf numFmtId="0" fontId="6" fillId="0" borderId="10" xfId="0" applyFont="1" applyFill="1" applyBorder="1" applyAlignment="1">
      <alignment vertical="center"/>
    </xf>
    <xf numFmtId="0" fontId="0" fillId="2" borderId="34" xfId="0" applyFill="1" applyBorder="1" applyAlignment="1">
      <alignment vertical="center"/>
    </xf>
    <xf numFmtId="0" fontId="0" fillId="0" borderId="14" xfId="0" applyFont="1" applyBorder="1" applyAlignment="1">
      <alignment horizontal="right" vertical="center"/>
    </xf>
    <xf numFmtId="0" fontId="16" fillId="0" borderId="8" xfId="0" applyFont="1" applyBorder="1" applyAlignment="1">
      <alignment vertical="center"/>
    </xf>
    <xf numFmtId="0" fontId="0" fillId="0" borderId="61" xfId="0" applyFill="1" applyBorder="1" applyAlignment="1">
      <alignment vertical="center"/>
    </xf>
    <xf numFmtId="0" fontId="13" fillId="0" borderId="12" xfId="0" applyFont="1" applyBorder="1" applyAlignment="1">
      <alignment vertical="center"/>
    </xf>
    <xf numFmtId="0" fontId="0" fillId="0" borderId="40" xfId="0" applyFill="1" applyBorder="1" applyAlignment="1">
      <alignment vertical="center"/>
    </xf>
    <xf numFmtId="9" fontId="0" fillId="0" borderId="27" xfId="0" applyNumberFormat="1" applyFill="1" applyBorder="1" applyAlignment="1">
      <alignment vertical="center"/>
    </xf>
    <xf numFmtId="0" fontId="0" fillId="4" borderId="26" xfId="0" applyNumberFormat="1" applyFill="1" applyBorder="1" applyAlignment="1">
      <alignment vertical="center"/>
    </xf>
    <xf numFmtId="176" fontId="0" fillId="8" borderId="51" xfId="0" applyNumberFormat="1" applyFont="1" applyFill="1" applyBorder="1" applyAlignment="1">
      <alignment vertical="center"/>
    </xf>
    <xf numFmtId="9" fontId="0" fillId="8" borderId="17" xfId="0" applyNumberFormat="1" applyFill="1" applyBorder="1" applyAlignment="1">
      <alignment vertical="center"/>
    </xf>
    <xf numFmtId="9" fontId="0" fillId="2" borderId="53" xfId="0" applyNumberFormat="1" applyFill="1" applyBorder="1" applyAlignment="1">
      <alignment vertical="center"/>
    </xf>
    <xf numFmtId="0" fontId="21" fillId="0" borderId="0" xfId="0" applyFont="1" applyBorder="1" applyAlignment="1">
      <alignment horizontal="right" vertical="center"/>
    </xf>
    <xf numFmtId="0" fontId="0" fillId="0" borderId="12" xfId="0" applyFill="1" applyBorder="1" applyAlignment="1">
      <alignment vertical="center"/>
    </xf>
    <xf numFmtId="176" fontId="7" fillId="9" borderId="32" xfId="0" applyNumberFormat="1" applyFont="1" applyFill="1" applyBorder="1" applyAlignment="1">
      <alignment vertical="center"/>
    </xf>
    <xf numFmtId="0" fontId="0" fillId="5" borderId="1" xfId="0" applyFont="1" applyFill="1" applyBorder="1" applyAlignment="1">
      <alignment vertical="center"/>
    </xf>
    <xf numFmtId="0" fontId="0" fillId="10" borderId="3" xfId="0"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wrapText="1"/>
    </xf>
    <xf numFmtId="0" fontId="0" fillId="0" borderId="9" xfId="0" applyNumberFormat="1" applyFont="1" applyFill="1" applyBorder="1" applyAlignment="1">
      <alignment vertical="center"/>
    </xf>
    <xf numFmtId="0" fontId="0" fillId="5" borderId="7" xfId="0" applyNumberFormat="1" applyFont="1" applyFill="1" applyBorder="1" applyAlignment="1">
      <alignment vertical="center"/>
    </xf>
    <xf numFmtId="0" fontId="0" fillId="0" borderId="9" xfId="0" applyNumberFormat="1" applyFont="1" applyBorder="1" applyAlignment="1">
      <alignment vertical="center"/>
    </xf>
    <xf numFmtId="0" fontId="0" fillId="5" borderId="7" xfId="0" applyFont="1" applyFill="1" applyBorder="1" applyAlignment="1">
      <alignment vertical="center"/>
    </xf>
    <xf numFmtId="0" fontId="0" fillId="0" borderId="9" xfId="0" applyFont="1" applyBorder="1" applyAlignment="1">
      <alignment vertical="center"/>
    </xf>
    <xf numFmtId="0" fontId="0" fillId="5" borderId="7" xfId="0" applyNumberFormat="1" applyFont="1" applyFill="1" applyBorder="1" applyAlignment="1">
      <alignment vertical="center" wrapText="1"/>
    </xf>
    <xf numFmtId="0" fontId="8" fillId="5" borderId="7" xfId="0" applyNumberFormat="1" applyFont="1" applyFill="1" applyBorder="1" applyAlignment="1">
      <alignment vertical="center" wrapText="1"/>
    </xf>
    <xf numFmtId="0" fontId="0" fillId="5" borderId="13" xfId="0" applyNumberFormat="1" applyFont="1" applyFill="1" applyBorder="1" applyAlignment="1">
      <alignment vertical="center"/>
    </xf>
    <xf numFmtId="0" fontId="0" fillId="0" borderId="15" xfId="0" applyNumberFormat="1" applyFont="1" applyFill="1" applyBorder="1" applyAlignment="1">
      <alignment horizontal="right" vertical="center"/>
    </xf>
    <xf numFmtId="0" fontId="8" fillId="0" borderId="51" xfId="0" applyFont="1" applyBorder="1" applyAlignment="1">
      <alignment vertical="center"/>
    </xf>
    <xf numFmtId="0" fontId="0" fillId="0" borderId="51" xfId="0" applyFont="1" applyBorder="1" applyAlignment="1">
      <alignment vertical="center"/>
    </xf>
    <xf numFmtId="0" fontId="0" fillId="0" borderId="64" xfId="0" applyFill="1" applyBorder="1" applyAlignment="1">
      <alignment vertical="center"/>
    </xf>
    <xf numFmtId="0" fontId="0" fillId="4" borderId="4" xfId="0" applyFill="1" applyBorder="1" applyAlignment="1">
      <alignment horizontal="right" vertical="center"/>
    </xf>
    <xf numFmtId="0" fontId="8" fillId="0" borderId="48" xfId="0" applyFont="1" applyBorder="1" applyAlignment="1">
      <alignment vertical="center"/>
    </xf>
    <xf numFmtId="0" fontId="0" fillId="4" borderId="2" xfId="0" applyNumberFormat="1" applyFill="1" applyBorder="1" applyAlignment="1">
      <alignment vertical="center"/>
    </xf>
    <xf numFmtId="0" fontId="0" fillId="4" borderId="39" xfId="0" applyNumberFormat="1" applyFill="1" applyBorder="1" applyAlignment="1">
      <alignment vertical="center"/>
    </xf>
    <xf numFmtId="0" fontId="0" fillId="4" borderId="31" xfId="0" applyNumberFormat="1" applyFill="1" applyBorder="1" applyAlignment="1">
      <alignment vertical="center"/>
    </xf>
    <xf numFmtId="0" fontId="0" fillId="0" borderId="4" xfId="0" applyNumberFormat="1" applyFill="1" applyBorder="1" applyAlignment="1">
      <alignment vertical="center" shrinkToFit="1"/>
    </xf>
    <xf numFmtId="0" fontId="7" fillId="8" borderId="62" xfId="0" applyFont="1" applyFill="1" applyBorder="1" applyAlignment="1">
      <alignment vertical="center"/>
    </xf>
    <xf numFmtId="0" fontId="7" fillId="8" borderId="79" xfId="0" applyFont="1" applyFill="1" applyBorder="1" applyAlignment="1">
      <alignment vertical="center"/>
    </xf>
    <xf numFmtId="0" fontId="7" fillId="4" borderId="77" xfId="0" applyFont="1" applyFill="1" applyBorder="1" applyAlignment="1">
      <alignment vertical="center"/>
    </xf>
    <xf numFmtId="0" fontId="7" fillId="6" borderId="77" xfId="0" applyFont="1" applyFill="1" applyBorder="1" applyAlignment="1">
      <alignment vertical="center"/>
    </xf>
    <xf numFmtId="0" fontId="7" fillId="7" borderId="106" xfId="0" applyFont="1" applyFill="1" applyBorder="1" applyAlignment="1">
      <alignment vertical="center"/>
    </xf>
    <xf numFmtId="0" fontId="21" fillId="0" borderId="0" xfId="0" applyFont="1" applyFill="1" applyBorder="1" applyAlignment="1">
      <alignment vertical="center"/>
    </xf>
    <xf numFmtId="0" fontId="7" fillId="3" borderId="76" xfId="0" applyFont="1" applyFill="1" applyBorder="1" applyAlignment="1">
      <alignment vertical="center"/>
    </xf>
    <xf numFmtId="0" fontId="21" fillId="0" borderId="0" xfId="0" applyNumberFormat="1" applyFont="1" applyAlignment="1">
      <alignment vertical="center"/>
    </xf>
    <xf numFmtId="0" fontId="16" fillId="6" borderId="9" xfId="0" applyFont="1" applyFill="1" applyBorder="1" applyAlignment="1">
      <alignment vertical="center"/>
    </xf>
    <xf numFmtId="0" fontId="16" fillId="6" borderId="15" xfId="0" applyFont="1" applyFill="1"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61" xfId="0" applyBorder="1" applyAlignment="1">
      <alignment vertical="center"/>
    </xf>
    <xf numFmtId="0" fontId="0" fillId="10" borderId="39" xfId="0" applyNumberFormat="1" applyFill="1" applyBorder="1" applyAlignment="1">
      <alignment vertical="center"/>
    </xf>
    <xf numFmtId="0" fontId="7" fillId="9" borderId="32" xfId="0" applyFont="1" applyFill="1" applyBorder="1" applyAlignment="1">
      <alignment vertical="center"/>
    </xf>
    <xf numFmtId="0" fontId="7" fillId="9" borderId="50" xfId="0" applyFont="1" applyFill="1" applyBorder="1" applyAlignment="1">
      <alignment vertical="center"/>
    </xf>
    <xf numFmtId="0" fontId="0" fillId="0" borderId="46" xfId="0" applyBorder="1" applyAlignment="1">
      <alignment vertical="center"/>
    </xf>
    <xf numFmtId="0" fontId="0" fillId="0" borderId="27" xfId="0" applyNumberFormat="1" applyBorder="1" applyAlignment="1">
      <alignment vertical="center"/>
    </xf>
    <xf numFmtId="0" fontId="16" fillId="0" borderId="108" xfId="0" applyFont="1" applyBorder="1" applyAlignment="1">
      <alignment vertical="center"/>
    </xf>
    <xf numFmtId="0" fontId="0" fillId="0" borderId="15" xfId="0" applyFill="1" applyBorder="1" applyAlignment="1">
      <alignment vertical="center"/>
    </xf>
    <xf numFmtId="0" fontId="0" fillId="0" borderId="32" xfId="0" applyBorder="1" applyAlignment="1">
      <alignment vertical="center"/>
    </xf>
    <xf numFmtId="0" fontId="0" fillId="8" borderId="0" xfId="0" applyFont="1" applyFill="1" applyBorder="1" applyAlignment="1">
      <alignment vertical="center"/>
    </xf>
    <xf numFmtId="0" fontId="16" fillId="0" borderId="7" xfId="0" applyFont="1" applyFill="1" applyBorder="1" applyAlignment="1">
      <alignment vertical="center"/>
    </xf>
    <xf numFmtId="9" fontId="0" fillId="0" borderId="17" xfId="0" applyNumberFormat="1" applyFont="1" applyFill="1" applyBorder="1" applyAlignment="1">
      <alignment vertical="center"/>
    </xf>
    <xf numFmtId="0" fontId="0" fillId="0" borderId="41" xfId="0" applyFill="1" applyBorder="1" applyAlignment="1">
      <alignment vertical="center"/>
    </xf>
    <xf numFmtId="0" fontId="16" fillId="0" borderId="10" xfId="0" applyFont="1" applyFill="1" applyBorder="1" applyAlignment="1">
      <alignment vertical="center"/>
    </xf>
    <xf numFmtId="0" fontId="0" fillId="0" borderId="11" xfId="0" applyFill="1" applyBorder="1" applyAlignment="1">
      <alignment vertical="center"/>
    </xf>
    <xf numFmtId="0" fontId="16" fillId="0" borderId="13" xfId="0" applyFont="1" applyBorder="1" applyAlignment="1">
      <alignment vertical="center"/>
    </xf>
    <xf numFmtId="0" fontId="21" fillId="0" borderId="64" xfId="0" applyFont="1" applyBorder="1" applyAlignment="1">
      <alignment vertical="center"/>
    </xf>
    <xf numFmtId="9" fontId="21" fillId="0" borderId="67" xfId="0" applyNumberFormat="1" applyFont="1" applyBorder="1" applyAlignment="1">
      <alignment vertical="center"/>
    </xf>
    <xf numFmtId="9" fontId="21" fillId="0" borderId="65" xfId="0" applyNumberFormat="1" applyFont="1" applyBorder="1" applyAlignment="1">
      <alignment vertical="center"/>
    </xf>
    <xf numFmtId="0" fontId="0" fillId="0" borderId="15" xfId="0" applyNumberFormat="1" applyFont="1" applyBorder="1" applyAlignment="1">
      <alignment vertical="center"/>
    </xf>
    <xf numFmtId="0" fontId="0" fillId="0" borderId="62" xfId="0" applyBorder="1" applyAlignment="1">
      <alignment vertical="center"/>
    </xf>
    <xf numFmtId="0" fontId="0" fillId="2" borderId="27" xfId="0" applyFill="1" applyBorder="1" applyAlignment="1">
      <alignment vertical="center"/>
    </xf>
    <xf numFmtId="0" fontId="16" fillId="3" borderId="13" xfId="0" applyFont="1" applyFill="1" applyBorder="1" applyAlignment="1">
      <alignment vertical="center"/>
    </xf>
    <xf numFmtId="0" fontId="0" fillId="0" borderId="5" xfId="0" applyFont="1" applyFill="1" applyBorder="1" applyAlignment="1">
      <alignment vertical="center"/>
    </xf>
    <xf numFmtId="0" fontId="0" fillId="0" borderId="41" xfId="0" applyFont="1" applyFill="1" applyBorder="1" applyAlignment="1">
      <alignment vertical="center"/>
    </xf>
    <xf numFmtId="9" fontId="0" fillId="0" borderId="38" xfId="0" applyNumberFormat="1"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35" xfId="0" applyFont="1" applyFill="1" applyBorder="1" applyAlignment="1">
      <alignment vertical="center"/>
    </xf>
    <xf numFmtId="9" fontId="0" fillId="0" borderId="36" xfId="0" applyNumberFormat="1" applyFont="1" applyFill="1" applyBorder="1" applyAlignment="1">
      <alignment vertical="center"/>
    </xf>
    <xf numFmtId="0" fontId="0" fillId="0" borderId="36" xfId="0" applyFont="1" applyFill="1" applyBorder="1" applyAlignment="1">
      <alignment vertical="center"/>
    </xf>
    <xf numFmtId="9" fontId="0" fillId="0" borderId="26" xfId="0" applyNumberFormat="1" applyFont="1" applyFill="1" applyBorder="1" applyAlignment="1">
      <alignment vertical="center"/>
    </xf>
    <xf numFmtId="0" fontId="0" fillId="0" borderId="4" xfId="0" applyNumberFormat="1" applyFont="1" applyFill="1" applyBorder="1" applyAlignment="1">
      <alignment vertical="center"/>
    </xf>
    <xf numFmtId="0" fontId="0" fillId="0" borderId="7" xfId="0" applyFont="1" applyFill="1" applyBorder="1" applyAlignment="1">
      <alignment horizontal="center" vertical="center" shrinkToFit="1"/>
    </xf>
    <xf numFmtId="9" fontId="0" fillId="0" borderId="13" xfId="0" applyNumberFormat="1" applyFont="1" applyFill="1" applyBorder="1" applyAlignment="1">
      <alignment horizontal="center" vertical="center"/>
    </xf>
    <xf numFmtId="0" fontId="0" fillId="0" borderId="15" xfId="0" applyNumberFormat="1" applyFont="1" applyFill="1" applyBorder="1" applyAlignment="1">
      <alignment vertical="center"/>
    </xf>
    <xf numFmtId="9" fontId="0" fillId="0" borderId="0" xfId="0" applyNumberFormat="1" applyFont="1" applyFill="1" applyAlignment="1">
      <alignment vertical="center"/>
    </xf>
    <xf numFmtId="0" fontId="0" fillId="0" borderId="0"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3" borderId="59" xfId="0" applyFont="1" applyFill="1" applyBorder="1" applyAlignment="1">
      <alignment vertical="center"/>
    </xf>
    <xf numFmtId="0" fontId="0" fillId="8" borderId="32" xfId="0" applyFill="1" applyBorder="1" applyAlignment="1">
      <alignment horizontal="center" vertical="center"/>
    </xf>
    <xf numFmtId="0" fontId="0" fillId="0" borderId="63" xfId="0" applyBorder="1" applyAlignment="1">
      <alignment vertical="center"/>
    </xf>
    <xf numFmtId="0" fontId="0" fillId="0" borderId="109" xfId="0" applyBorder="1" applyAlignment="1">
      <alignment horizontal="center" vertical="center"/>
    </xf>
    <xf numFmtId="10" fontId="0" fillId="0" borderId="110" xfId="0" applyNumberFormat="1" applyBorder="1" applyAlignment="1">
      <alignment vertical="center"/>
    </xf>
    <xf numFmtId="10" fontId="0" fillId="0" borderId="111" xfId="0" applyNumberFormat="1" applyBorder="1" applyAlignment="1">
      <alignment vertical="center"/>
    </xf>
    <xf numFmtId="10" fontId="0" fillId="0" borderId="112" xfId="0" applyNumberFormat="1" applyBorder="1" applyAlignment="1">
      <alignment vertical="center"/>
    </xf>
    <xf numFmtId="10" fontId="0" fillId="0" borderId="113" xfId="0" applyNumberFormat="1" applyBorder="1" applyAlignment="1">
      <alignment horizontal="center" vertical="center"/>
    </xf>
    <xf numFmtId="179" fontId="0" fillId="0" borderId="110" xfId="0" applyNumberFormat="1" applyFill="1" applyBorder="1" applyAlignment="1">
      <alignment vertical="center"/>
    </xf>
    <xf numFmtId="179" fontId="0" fillId="0" borderId="111" xfId="0" applyNumberFormat="1" applyFill="1" applyBorder="1" applyAlignment="1">
      <alignment vertical="center"/>
    </xf>
    <xf numFmtId="179" fontId="0" fillId="0" borderId="114" xfId="0" applyNumberFormat="1" applyFill="1" applyBorder="1" applyAlignment="1">
      <alignment vertical="center"/>
    </xf>
    <xf numFmtId="179" fontId="0" fillId="0" borderId="115" xfId="0" applyNumberFormat="1" applyFill="1" applyBorder="1" applyAlignment="1">
      <alignment vertical="center"/>
    </xf>
    <xf numFmtId="179" fontId="0" fillId="0" borderId="112" xfId="0" applyNumberFormat="1" applyFill="1" applyBorder="1" applyAlignment="1">
      <alignment vertical="center"/>
    </xf>
    <xf numFmtId="0" fontId="0" fillId="0" borderId="10" xfId="0"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shrinkToFit="1"/>
    </xf>
    <xf numFmtId="0" fontId="7" fillId="0" borderId="62" xfId="0" applyFont="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7" fillId="0" borderId="51" xfId="0" applyFont="1" applyBorder="1" applyAlignment="1">
      <alignment vertical="center"/>
    </xf>
    <xf numFmtId="0" fontId="0" fillId="0" borderId="8" xfId="0" applyNumberFormat="1" applyFont="1" applyBorder="1" applyAlignment="1">
      <alignment vertical="center"/>
    </xf>
    <xf numFmtId="0" fontId="0" fillId="4" borderId="8" xfId="0" applyNumberFormat="1" applyFont="1" applyFill="1" applyBorder="1" applyAlignment="1">
      <alignment vertical="center"/>
    </xf>
    <xf numFmtId="0" fontId="0" fillId="0" borderId="14" xfId="0" applyNumberFormat="1" applyFont="1" applyBorder="1" applyAlignment="1">
      <alignment vertical="center"/>
    </xf>
    <xf numFmtId="0" fontId="0" fillId="0" borderId="14" xfId="0" applyNumberFormat="1" applyFont="1" applyFill="1" applyBorder="1" applyAlignment="1">
      <alignment vertical="center"/>
    </xf>
    <xf numFmtId="0" fontId="0" fillId="0" borderId="11" xfId="0" applyNumberFormat="1" applyFont="1" applyBorder="1" applyAlignment="1">
      <alignment vertical="center"/>
    </xf>
    <xf numFmtId="0" fontId="0" fillId="0" borderId="3" xfId="0" applyNumberFormat="1" applyFont="1" applyBorder="1" applyAlignment="1">
      <alignment vertical="center"/>
    </xf>
    <xf numFmtId="0" fontId="0" fillId="0" borderId="3" xfId="0" applyNumberFormat="1" applyFont="1" applyFill="1" applyBorder="1" applyAlignment="1">
      <alignment vertical="center"/>
    </xf>
    <xf numFmtId="0" fontId="0" fillId="4" borderId="3" xfId="0" applyNumberFormat="1" applyFont="1" applyFill="1" applyBorder="1" applyAlignment="1">
      <alignment vertical="center"/>
    </xf>
    <xf numFmtId="0" fontId="0" fillId="4" borderId="3" xfId="0" applyNumberFormat="1" applyFont="1" applyFill="1" applyBorder="1" applyAlignment="1">
      <alignment horizontal="right" vertical="center"/>
    </xf>
    <xf numFmtId="0" fontId="0" fillId="4" borderId="14" xfId="0" applyNumberFormat="1" applyFont="1" applyFill="1" applyBorder="1" applyAlignment="1">
      <alignment horizontal="right" vertical="center"/>
    </xf>
    <xf numFmtId="0" fontId="0" fillId="0" borderId="19" xfId="0" applyNumberFormat="1" applyFont="1" applyFill="1" applyBorder="1" applyAlignment="1">
      <alignment vertical="center"/>
    </xf>
    <xf numFmtId="0" fontId="0" fillId="10" borderId="39" xfId="0" applyNumberFormat="1" applyFont="1" applyFill="1" applyBorder="1" applyAlignment="1">
      <alignment vertical="center"/>
    </xf>
    <xf numFmtId="0" fontId="0" fillId="0" borderId="31" xfId="0" applyNumberFormat="1" applyFont="1" applyFill="1" applyBorder="1" applyAlignment="1">
      <alignment vertical="center"/>
    </xf>
    <xf numFmtId="0" fontId="0" fillId="4" borderId="41" xfId="0" applyNumberFormat="1" applyFont="1" applyFill="1" applyBorder="1" applyAlignment="1">
      <alignment vertical="center"/>
    </xf>
    <xf numFmtId="0" fontId="0" fillId="8" borderId="51" xfId="0" applyFill="1" applyBorder="1" applyAlignment="1">
      <alignment horizontal="right" vertical="center"/>
    </xf>
    <xf numFmtId="0" fontId="0" fillId="8" borderId="62" xfId="0" applyFont="1" applyFill="1" applyBorder="1" applyAlignment="1">
      <alignment vertical="center"/>
    </xf>
    <xf numFmtId="179" fontId="0" fillId="0" borderId="0" xfId="0" applyNumberFormat="1" applyFont="1" applyBorder="1" applyAlignment="1">
      <alignment vertical="center"/>
    </xf>
    <xf numFmtId="10" fontId="0" fillId="0" borderId="40" xfId="0" applyNumberFormat="1" applyFont="1" applyBorder="1" applyAlignment="1">
      <alignment vertical="center"/>
    </xf>
    <xf numFmtId="0" fontId="0" fillId="4" borderId="11" xfId="0" applyNumberFormat="1" applyFont="1" applyFill="1" applyBorder="1" applyAlignment="1">
      <alignment horizontal="right" vertical="center"/>
    </xf>
    <xf numFmtId="9" fontId="0" fillId="0" borderId="27" xfId="0" applyNumberFormat="1" applyFont="1" applyBorder="1" applyAlignment="1">
      <alignment vertical="center"/>
    </xf>
    <xf numFmtId="0" fontId="0" fillId="0" borderId="41" xfId="0" applyNumberFormat="1" applyFont="1" applyBorder="1" applyAlignment="1">
      <alignment vertical="center"/>
    </xf>
    <xf numFmtId="0" fontId="0" fillId="0" borderId="41" xfId="0" applyNumberFormat="1" applyFont="1" applyFill="1" applyBorder="1" applyAlignment="1">
      <alignment vertical="center"/>
    </xf>
    <xf numFmtId="0" fontId="0" fillId="4" borderId="41" xfId="0" applyNumberFormat="1" applyFont="1" applyFill="1" applyBorder="1" applyAlignment="1">
      <alignment horizontal="right" vertical="center"/>
    </xf>
    <xf numFmtId="10" fontId="0" fillId="0" borderId="59" xfId="0" applyNumberFormat="1" applyFont="1" applyBorder="1" applyAlignment="1">
      <alignment vertical="center"/>
    </xf>
    <xf numFmtId="0" fontId="0" fillId="4" borderId="14" xfId="0" applyNumberFormat="1" applyFont="1" applyFill="1" applyBorder="1" applyAlignment="1">
      <alignment vertical="center"/>
    </xf>
    <xf numFmtId="9" fontId="0" fillId="0" borderId="4" xfId="0" applyNumberFormat="1"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2" xfId="0" applyNumberFormat="1" applyFill="1" applyBorder="1" applyAlignment="1">
      <alignment vertical="center"/>
    </xf>
    <xf numFmtId="10" fontId="21" fillId="0" borderId="0" xfId="0" applyNumberFormat="1" applyFont="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xf>
    <xf numFmtId="10" fontId="21" fillId="0" borderId="0" xfId="0" applyNumberFormat="1" applyFont="1" applyBorder="1" applyAlignment="1">
      <alignment vertical="center"/>
    </xf>
    <xf numFmtId="9"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9" fontId="21" fillId="0" borderId="0" xfId="0" applyNumberFormat="1" applyFont="1" applyBorder="1" applyAlignment="1">
      <alignment vertical="center"/>
    </xf>
    <xf numFmtId="179" fontId="21" fillId="0" borderId="0" xfId="0" applyNumberFormat="1" applyFont="1" applyFill="1" applyBorder="1" applyAlignment="1">
      <alignment vertical="center"/>
    </xf>
    <xf numFmtId="0" fontId="0" fillId="13" borderId="0" xfId="0"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53" xfId="0" applyBorder="1" applyAlignment="1">
      <alignment vertical="center"/>
    </xf>
    <xf numFmtId="0" fontId="0" fillId="13" borderId="2" xfId="0" applyFill="1" applyBorder="1" applyAlignment="1">
      <alignment vertical="center"/>
    </xf>
    <xf numFmtId="0" fontId="0" fillId="13" borderId="39" xfId="0" applyFill="1" applyBorder="1" applyAlignment="1">
      <alignment vertical="center"/>
    </xf>
    <xf numFmtId="176" fontId="7" fillId="9" borderId="50" xfId="0" applyNumberFormat="1" applyFont="1" applyFill="1" applyBorder="1" applyAlignment="1">
      <alignment vertical="center"/>
    </xf>
    <xf numFmtId="176" fontId="7" fillId="9" borderId="49" xfId="0" applyNumberFormat="1" applyFont="1" applyFill="1" applyBorder="1" applyAlignment="1">
      <alignment vertical="center"/>
    </xf>
    <xf numFmtId="0" fontId="0" fillId="0" borderId="61" xfId="0" applyBorder="1" applyAlignment="1">
      <alignment horizontal="right" vertical="center"/>
    </xf>
    <xf numFmtId="0" fontId="0" fillId="0" borderId="51" xfId="0" applyBorder="1" applyAlignment="1">
      <alignment horizontal="center" vertical="center"/>
    </xf>
    <xf numFmtId="0" fontId="0" fillId="0" borderId="61" xfId="0" applyBorder="1" applyAlignment="1">
      <alignment vertical="center"/>
    </xf>
    <xf numFmtId="0" fontId="16" fillId="0" borderId="51" xfId="0" applyFont="1" applyBorder="1" applyAlignment="1">
      <alignment vertical="center"/>
    </xf>
    <xf numFmtId="0" fontId="16" fillId="0" borderId="17" xfId="0" applyFont="1" applyBorder="1" applyAlignment="1">
      <alignment horizontal="center" vertical="center"/>
    </xf>
    <xf numFmtId="0" fontId="16" fillId="0" borderId="1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7" xfId="0" applyFont="1" applyFill="1" applyBorder="1" applyAlignment="1">
      <alignment horizontal="center" vertical="center"/>
    </xf>
    <xf numFmtId="176" fontId="8" fillId="0" borderId="1" xfId="0" applyNumberFormat="1" applyFont="1" applyFill="1" applyBorder="1" applyAlignment="1">
      <alignment vertical="center"/>
    </xf>
    <xf numFmtId="176" fontId="7" fillId="0" borderId="4" xfId="0" applyNumberFormat="1" applyFont="1" applyFill="1" applyBorder="1" applyAlignment="1">
      <alignment vertical="center"/>
    </xf>
    <xf numFmtId="0" fontId="0" fillId="0" borderId="10" xfId="0" applyBorder="1" applyAlignment="1">
      <alignment horizontal="right" vertical="center"/>
    </xf>
    <xf numFmtId="0" fontId="0" fillId="10" borderId="10" xfId="0" applyFill="1" applyBorder="1" applyAlignment="1">
      <alignment vertical="center"/>
    </xf>
    <xf numFmtId="0" fontId="0" fillId="10" borderId="13" xfId="0" applyFill="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3" fillId="0" borderId="14"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vertical="center"/>
    </xf>
    <xf numFmtId="0" fontId="0" fillId="0" borderId="8" xfId="0" applyFont="1" applyFill="1" applyBorder="1" applyAlignment="1">
      <alignment vertical="center"/>
    </xf>
    <xf numFmtId="0" fontId="0" fillId="0" borderId="14" xfId="0" applyFont="1" applyFill="1" applyBorder="1" applyAlignment="1">
      <alignment vertical="center"/>
    </xf>
    <xf numFmtId="0" fontId="0" fillId="0" borderId="3" xfId="0" applyFont="1" applyBorder="1" applyAlignment="1">
      <alignment vertical="center"/>
    </xf>
    <xf numFmtId="0" fontId="0" fillId="2" borderId="4" xfId="0" applyFont="1" applyFill="1" applyBorder="1" applyAlignment="1">
      <alignment vertical="center"/>
    </xf>
    <xf numFmtId="9" fontId="0" fillId="0" borderId="15" xfId="0" applyNumberFormat="1" applyFont="1" applyBorder="1" applyAlignment="1">
      <alignment vertical="center"/>
    </xf>
    <xf numFmtId="0" fontId="0" fillId="13" borderId="52" xfId="0" applyFill="1" applyBorder="1" applyAlignment="1">
      <alignment vertical="center"/>
    </xf>
    <xf numFmtId="0" fontId="16" fillId="0" borderId="9" xfId="0" applyFont="1" applyBorder="1" applyAlignment="1">
      <alignment vertical="center"/>
    </xf>
    <xf numFmtId="0" fontId="21" fillId="0" borderId="0" xfId="0" applyNumberFormat="1" applyFont="1" applyFill="1" applyBorder="1" applyAlignment="1">
      <alignment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16" fillId="0" borderId="5" xfId="0" applyFont="1" applyBorder="1" applyAlignment="1">
      <alignment vertical="center"/>
    </xf>
    <xf numFmtId="0" fontId="0" fillId="0" borderId="101" xfId="0" applyFont="1" applyBorder="1" applyAlignment="1">
      <alignment vertical="center"/>
    </xf>
    <xf numFmtId="0" fontId="0" fillId="2" borderId="4" xfId="0" applyFill="1" applyBorder="1" applyAlignment="1">
      <alignment vertical="center"/>
    </xf>
    <xf numFmtId="178" fontId="0" fillId="0" borderId="7" xfId="0" applyNumberFormat="1" applyFill="1" applyBorder="1" applyAlignment="1">
      <alignment vertical="center"/>
    </xf>
    <xf numFmtId="0" fontId="0" fillId="0" borderId="39" xfId="0" applyNumberFormat="1" applyFill="1" applyBorder="1" applyAlignment="1">
      <alignment vertical="center"/>
    </xf>
    <xf numFmtId="9" fontId="0" fillId="0" borderId="39" xfId="0" applyNumberFormat="1" applyFill="1" applyBorder="1" applyAlignment="1">
      <alignment vertical="center"/>
    </xf>
    <xf numFmtId="0" fontId="0" fillId="0" borderId="39" xfId="0" applyFill="1" applyBorder="1" applyAlignment="1">
      <alignment vertical="center"/>
    </xf>
    <xf numFmtId="0" fontId="0" fillId="0" borderId="30" xfId="0" applyFill="1" applyBorder="1" applyAlignment="1">
      <alignment horizontal="center" vertical="center"/>
    </xf>
    <xf numFmtId="0" fontId="0" fillId="0" borderId="30" xfId="0" applyFill="1" applyBorder="1" applyAlignment="1">
      <alignment horizontal="center" vertical="center" shrinkToFit="1"/>
    </xf>
    <xf numFmtId="9" fontId="0" fillId="0" borderId="66" xfId="0" applyNumberFormat="1" applyFill="1" applyBorder="1" applyAlignment="1">
      <alignment horizontal="center" vertical="center"/>
    </xf>
    <xf numFmtId="0" fontId="0" fillId="0" borderId="11" xfId="0" applyFill="1" applyBorder="1" applyAlignment="1">
      <alignment vertical="center"/>
    </xf>
    <xf numFmtId="0" fontId="0" fillId="0" borderId="104" xfId="0" applyFill="1" applyBorder="1" applyAlignment="1">
      <alignment vertical="center"/>
    </xf>
    <xf numFmtId="0" fontId="0" fillId="0" borderId="10" xfId="0" applyFill="1" applyBorder="1" applyAlignment="1">
      <alignment horizontal="right" vertical="center"/>
    </xf>
    <xf numFmtId="0" fontId="20" fillId="0" borderId="50" xfId="0" applyFont="1" applyFill="1" applyBorder="1" applyAlignment="1">
      <alignment vertical="center"/>
    </xf>
    <xf numFmtId="9" fontId="0" fillId="0" borderId="5" xfId="0" applyNumberFormat="1" applyFill="1" applyBorder="1" applyAlignment="1">
      <alignment horizontal="center" vertical="center"/>
    </xf>
    <xf numFmtId="0" fontId="0" fillId="0" borderId="6" xfId="0" applyFill="1" applyBorder="1" applyAlignment="1">
      <alignment vertical="center"/>
    </xf>
    <xf numFmtId="0" fontId="20" fillId="0" borderId="50" xfId="0" applyFont="1" applyBorder="1" applyAlignment="1">
      <alignment vertical="center"/>
    </xf>
    <xf numFmtId="0" fontId="0" fillId="0" borderId="13" xfId="0" applyFont="1" applyBorder="1" applyAlignment="1">
      <alignment horizontal="center" vertical="center"/>
    </xf>
    <xf numFmtId="0" fontId="0" fillId="0" borderId="5" xfId="0" applyFont="1" applyBorder="1" applyAlignment="1">
      <alignment vertical="center"/>
    </xf>
    <xf numFmtId="9" fontId="0" fillId="0" borderId="38" xfId="0" applyNumberFormat="1" applyFill="1" applyBorder="1" applyAlignment="1">
      <alignment vertical="center"/>
    </xf>
    <xf numFmtId="0" fontId="16" fillId="0" borderId="1" xfId="0" applyFont="1" applyFill="1" applyBorder="1" applyAlignment="1">
      <alignment vertical="center"/>
    </xf>
    <xf numFmtId="0" fontId="0" fillId="0" borderId="3" xfId="0" applyFont="1" applyFill="1" applyBorder="1" applyAlignment="1">
      <alignment vertical="center"/>
    </xf>
    <xf numFmtId="0" fontId="0" fillId="13" borderId="15" xfId="0" applyFill="1" applyBorder="1" applyAlignment="1">
      <alignment vertical="center"/>
    </xf>
    <xf numFmtId="0" fontId="0" fillId="0" borderId="1" xfId="0" applyFont="1" applyBorder="1" applyAlignment="1">
      <alignment vertical="center"/>
    </xf>
    <xf numFmtId="0" fontId="16" fillId="0" borderId="100" xfId="0" applyFont="1" applyBorder="1" applyAlignment="1">
      <alignment vertical="center"/>
    </xf>
    <xf numFmtId="0" fontId="0" fillId="0" borderId="61" xfId="0" applyFill="1" applyBorder="1" applyAlignment="1">
      <alignment horizontal="center" vertical="center"/>
    </xf>
    <xf numFmtId="9" fontId="0" fillId="0" borderId="21" xfId="0" applyNumberFormat="1" applyFill="1" applyBorder="1" applyAlignment="1">
      <alignment vertical="center"/>
    </xf>
    <xf numFmtId="0" fontId="0" fillId="0" borderId="76" xfId="0" applyBorder="1" applyAlignment="1">
      <alignment vertical="center"/>
    </xf>
    <xf numFmtId="0" fontId="0" fillId="0" borderId="98" xfId="0" applyBorder="1" applyAlignment="1">
      <alignment vertical="center"/>
    </xf>
    <xf numFmtId="0" fontId="0" fillId="4" borderId="78" xfId="0" applyFill="1" applyBorder="1" applyAlignment="1">
      <alignment vertical="center" shrinkToFit="1"/>
    </xf>
    <xf numFmtId="0" fontId="0" fillId="0" borderId="98" xfId="0" applyFill="1" applyBorder="1" applyAlignment="1">
      <alignment vertical="center"/>
    </xf>
    <xf numFmtId="0" fontId="16" fillId="10" borderId="59" xfId="0" applyFont="1" applyFill="1" applyBorder="1" applyAlignment="1">
      <alignment vertical="center"/>
    </xf>
    <xf numFmtId="0" fontId="0" fillId="0" borderId="0" xfId="0" applyNumberFormat="1" applyFont="1" applyFill="1" applyBorder="1" applyAlignment="1">
      <alignment vertical="center"/>
    </xf>
    <xf numFmtId="0" fontId="0" fillId="9" borderId="16" xfId="0" applyFill="1" applyBorder="1" applyAlignment="1">
      <alignment vertical="center"/>
    </xf>
    <xf numFmtId="0" fontId="0" fillId="9" borderId="18" xfId="0" applyFill="1" applyBorder="1" applyAlignment="1">
      <alignment vertical="center"/>
    </xf>
    <xf numFmtId="0" fontId="0" fillId="9" borderId="27" xfId="0" applyFill="1" applyBorder="1" applyAlignment="1">
      <alignment vertical="center"/>
    </xf>
    <xf numFmtId="0" fontId="0" fillId="0" borderId="8" xfId="0" applyBorder="1" applyAlignment="1">
      <alignment vertical="center"/>
    </xf>
    <xf numFmtId="0" fontId="0" fillId="0" borderId="51" xfId="0" applyBorder="1" applyAlignment="1">
      <alignment vertical="center"/>
    </xf>
    <xf numFmtId="0" fontId="0" fillId="13" borderId="38" xfId="0" applyFill="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0" fillId="0" borderId="35" xfId="0" applyFont="1" applyBorder="1" applyAlignment="1">
      <alignment vertical="center"/>
    </xf>
    <xf numFmtId="0" fontId="8" fillId="0" borderId="49" xfId="0" applyFont="1" applyBorder="1" applyAlignment="1">
      <alignment vertical="center"/>
    </xf>
    <xf numFmtId="0" fontId="8" fillId="0" borderId="28" xfId="0" applyFont="1" applyBorder="1" applyAlignment="1">
      <alignment vertical="center"/>
    </xf>
    <xf numFmtId="0" fontId="8" fillId="0" borderId="30" xfId="0" applyFont="1" applyBorder="1" applyAlignment="1">
      <alignment vertical="center"/>
    </xf>
    <xf numFmtId="0" fontId="0" fillId="0" borderId="128" xfId="0" applyFont="1" applyBorder="1" applyAlignment="1">
      <alignment vertical="center"/>
    </xf>
    <xf numFmtId="0" fontId="0" fillId="0" borderId="105" xfId="0" applyFill="1" applyBorder="1" applyAlignment="1">
      <alignment vertical="center"/>
    </xf>
    <xf numFmtId="0" fontId="8" fillId="0" borderId="1" xfId="0" applyFont="1" applyFill="1" applyBorder="1" applyAlignment="1">
      <alignment vertical="center"/>
    </xf>
    <xf numFmtId="0" fontId="0" fillId="0" borderId="3" xfId="0" applyFont="1" applyFill="1" applyBorder="1" applyAlignment="1">
      <alignment vertical="center"/>
    </xf>
    <xf numFmtId="0" fontId="0" fillId="2" borderId="4" xfId="0" applyFont="1" applyFill="1" applyBorder="1" applyAlignment="1">
      <alignment vertical="center"/>
    </xf>
    <xf numFmtId="0" fontId="0" fillId="4" borderId="64" xfId="0" applyFill="1" applyBorder="1" applyAlignment="1">
      <alignment horizontal="center" vertical="center"/>
    </xf>
    <xf numFmtId="0" fontId="0" fillId="4" borderId="3" xfId="0" applyFill="1" applyBorder="1" applyAlignment="1">
      <alignment vertical="center"/>
    </xf>
    <xf numFmtId="0" fontId="16" fillId="4" borderId="20" xfId="0" applyFont="1" applyFill="1" applyBorder="1" applyAlignment="1">
      <alignment horizontal="center" vertical="center"/>
    </xf>
    <xf numFmtId="176" fontId="7" fillId="11" borderId="30" xfId="0" applyNumberFormat="1" applyFont="1" applyFill="1" applyBorder="1" applyAlignment="1">
      <alignment vertical="center"/>
    </xf>
    <xf numFmtId="0" fontId="0" fillId="11" borderId="9" xfId="0" applyFill="1" applyBorder="1" applyAlignment="1">
      <alignment vertical="center" shrinkToFit="1"/>
    </xf>
    <xf numFmtId="0" fontId="15" fillId="5" borderId="59" xfId="0" applyNumberFormat="1" applyFont="1" applyFill="1" applyBorder="1" applyAlignment="1">
      <alignment horizontal="center" vertical="center"/>
    </xf>
    <xf numFmtId="0" fontId="0" fillId="3" borderId="46" xfId="0" applyFill="1" applyBorder="1" applyAlignment="1">
      <alignment vertical="center" shrinkToFit="1"/>
    </xf>
    <xf numFmtId="0" fontId="0" fillId="4" borderId="47" xfId="0" applyFill="1" applyBorder="1" applyAlignment="1">
      <alignment vertical="center" shrinkToFit="1"/>
    </xf>
    <xf numFmtId="0" fontId="16" fillId="6" borderId="47" xfId="0" applyFont="1" applyFill="1" applyBorder="1" applyAlignment="1">
      <alignment vertical="center"/>
    </xf>
    <xf numFmtId="0" fontId="0" fillId="11" borderId="47" xfId="0" applyFill="1" applyBorder="1" applyAlignment="1">
      <alignment vertical="center" shrinkToFit="1"/>
    </xf>
    <xf numFmtId="0" fontId="7" fillId="11" borderId="77" xfId="0" applyFont="1" applyFill="1" applyBorder="1" applyAlignment="1">
      <alignment vertical="center"/>
    </xf>
    <xf numFmtId="176" fontId="7" fillId="3" borderId="1" xfId="0" applyNumberFormat="1" applyFont="1" applyFill="1" applyBorder="1" applyAlignment="1">
      <alignment vertical="center"/>
    </xf>
    <xf numFmtId="176" fontId="7" fillId="4" borderId="7" xfId="0" applyNumberFormat="1" applyFont="1" applyFill="1" applyBorder="1" applyAlignment="1">
      <alignment vertical="center"/>
    </xf>
    <xf numFmtId="176" fontId="7" fillId="4" borderId="47" xfId="0" applyNumberFormat="1" applyFont="1" applyFill="1" applyBorder="1" applyAlignment="1">
      <alignment vertical="center"/>
    </xf>
    <xf numFmtId="176" fontId="7" fillId="11" borderId="7" xfId="0" applyNumberFormat="1" applyFont="1" applyFill="1" applyBorder="1" applyAlignment="1">
      <alignment vertical="center"/>
    </xf>
    <xf numFmtId="176" fontId="7" fillId="11" borderId="47" xfId="0" applyNumberFormat="1" applyFont="1" applyFill="1" applyBorder="1" applyAlignment="1">
      <alignment vertical="center"/>
    </xf>
    <xf numFmtId="176" fontId="7" fillId="6" borderId="7" xfId="0" applyNumberFormat="1" applyFont="1" applyFill="1" applyBorder="1" applyAlignment="1">
      <alignment vertical="center"/>
    </xf>
    <xf numFmtId="0" fontId="1" fillId="0" borderId="8" xfId="0" applyFont="1" applyFill="1" applyBorder="1" applyAlignment="1">
      <alignment vertical="center"/>
    </xf>
    <xf numFmtId="0" fontId="21" fillId="0" borderId="67" xfId="0" applyFont="1" applyBorder="1" applyAlignment="1">
      <alignment vertical="center" shrinkToFit="1"/>
    </xf>
    <xf numFmtId="0" fontId="21" fillId="0" borderId="65" xfId="0" applyFont="1" applyBorder="1" applyAlignment="1">
      <alignment vertical="center"/>
    </xf>
    <xf numFmtId="0" fontId="0" fillId="8" borderId="129" xfId="0" applyFill="1" applyBorder="1" applyAlignment="1">
      <alignment vertical="center"/>
    </xf>
    <xf numFmtId="0" fontId="0" fillId="8" borderId="30" xfId="0" applyFill="1" applyBorder="1" applyAlignment="1">
      <alignment vertical="center"/>
    </xf>
    <xf numFmtId="0" fontId="16" fillId="0" borderId="52" xfId="0" applyFont="1" applyFill="1" applyBorder="1" applyAlignment="1">
      <alignment vertical="center"/>
    </xf>
    <xf numFmtId="0" fontId="0" fillId="0" borderId="60" xfId="0" applyFill="1" applyBorder="1" applyAlignment="1">
      <alignment vertical="center"/>
    </xf>
    <xf numFmtId="0" fontId="21" fillId="0" borderId="0" xfId="0" applyNumberFormat="1" applyFont="1" applyBorder="1" applyAlignment="1">
      <alignment vertical="center"/>
    </xf>
    <xf numFmtId="0" fontId="8" fillId="0" borderId="35" xfId="0" applyFont="1" applyFill="1" applyBorder="1" applyAlignment="1">
      <alignment vertical="center"/>
    </xf>
    <xf numFmtId="0" fontId="8" fillId="8" borderId="52" xfId="0" applyFont="1" applyFill="1" applyBorder="1" applyAlignment="1">
      <alignment vertical="center"/>
    </xf>
    <xf numFmtId="0" fontId="0" fillId="0" borderId="32" xfId="0" applyBorder="1" applyAlignment="1">
      <alignment horizontal="right" vertical="center"/>
    </xf>
    <xf numFmtId="0" fontId="0" fillId="0" borderId="130" xfId="0" applyBorder="1" applyAlignment="1">
      <alignment vertical="center"/>
    </xf>
    <xf numFmtId="0" fontId="0" fillId="13" borderId="6" xfId="0" applyFill="1" applyBorder="1" applyAlignment="1">
      <alignment vertical="center"/>
    </xf>
    <xf numFmtId="0" fontId="0" fillId="0" borderId="62" xfId="0" applyFill="1" applyBorder="1" applyAlignment="1">
      <alignment vertical="center"/>
    </xf>
    <xf numFmtId="0" fontId="0" fillId="0" borderId="79" xfId="0" applyFill="1" applyBorder="1" applyAlignment="1">
      <alignment vertical="center"/>
    </xf>
    <xf numFmtId="0" fontId="0" fillId="0" borderId="17" xfId="0" applyNumberFormat="1" applyBorder="1" applyAlignment="1">
      <alignment vertical="center"/>
    </xf>
    <xf numFmtId="0" fontId="6" fillId="0" borderId="13" xfId="0" applyFont="1" applyBorder="1" applyAlignment="1">
      <alignment vertical="center"/>
    </xf>
    <xf numFmtId="0" fontId="0" fillId="0" borderId="104" xfId="0" applyBorder="1" applyAlignment="1">
      <alignment vertical="center"/>
    </xf>
    <xf numFmtId="0" fontId="16" fillId="0" borderId="5" xfId="0" applyFont="1" applyFill="1"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14" borderId="26" xfId="0" applyFill="1" applyBorder="1" applyAlignment="1">
      <alignment vertical="center"/>
    </xf>
    <xf numFmtId="0" fontId="0" fillId="8" borderId="60" xfId="0" applyFill="1" applyBorder="1" applyAlignment="1">
      <alignment vertical="center"/>
    </xf>
    <xf numFmtId="0" fontId="0" fillId="8" borderId="14" xfId="0" applyFill="1" applyBorder="1" applyAlignment="1">
      <alignment vertical="center"/>
    </xf>
    <xf numFmtId="0" fontId="0" fillId="0" borderId="60" xfId="0" applyBorder="1" applyAlignment="1">
      <alignment vertical="center"/>
    </xf>
    <xf numFmtId="0" fontId="0" fillId="0" borderId="67" xfId="0" applyFill="1" applyBorder="1" applyAlignment="1">
      <alignment vertical="center"/>
    </xf>
    <xf numFmtId="0" fontId="0" fillId="0" borderId="65" xfId="0" applyFill="1" applyBorder="1" applyAlignment="1">
      <alignment vertical="center"/>
    </xf>
    <xf numFmtId="0" fontId="0" fillId="0" borderId="32"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21" fillId="8" borderId="65" xfId="0" applyNumberFormat="1" applyFont="1" applyFill="1" applyBorder="1" applyAlignment="1">
      <alignment vertical="center"/>
    </xf>
    <xf numFmtId="0" fontId="21" fillId="8" borderId="48" xfId="0" applyNumberFormat="1" applyFont="1" applyFill="1" applyBorder="1" applyAlignment="1">
      <alignment vertical="center"/>
    </xf>
    <xf numFmtId="0" fontId="21" fillId="8" borderId="50" xfId="0" applyNumberFormat="1" applyFont="1" applyFill="1" applyBorder="1" applyAlignment="1">
      <alignment vertical="center"/>
    </xf>
    <xf numFmtId="0" fontId="0" fillId="0" borderId="8" xfId="0" applyFont="1" applyFill="1" applyBorder="1" applyAlignment="1">
      <alignment vertical="center" shrinkToFit="1"/>
    </xf>
    <xf numFmtId="0" fontId="8" fillId="0" borderId="8" xfId="0" applyFont="1" applyFill="1" applyBorder="1" applyAlignment="1">
      <alignment vertical="center"/>
    </xf>
    <xf numFmtId="0" fontId="0" fillId="0" borderId="3" xfId="0" applyBorder="1" applyAlignment="1">
      <alignment vertical="center" shrinkToFit="1"/>
    </xf>
    <xf numFmtId="0" fontId="8" fillId="0" borderId="7" xfId="0" applyFont="1" applyFill="1" applyBorder="1" applyAlignment="1">
      <alignment vertical="center"/>
    </xf>
    <xf numFmtId="0" fontId="0" fillId="2" borderId="9" xfId="0" applyFont="1" applyFill="1" applyBorder="1" applyAlignment="1">
      <alignment vertical="center"/>
    </xf>
    <xf numFmtId="0" fontId="8" fillId="0" borderId="64" xfId="0" applyFont="1" applyFill="1" applyBorder="1" applyAlignment="1">
      <alignment vertical="center"/>
    </xf>
    <xf numFmtId="0" fontId="8" fillId="0" borderId="67" xfId="0" applyFont="1" applyFill="1" applyBorder="1" applyAlignment="1">
      <alignment vertical="center"/>
    </xf>
    <xf numFmtId="0" fontId="13" fillId="0" borderId="3" xfId="0" applyFont="1" applyBorder="1" applyAlignment="1">
      <alignment vertical="center"/>
    </xf>
    <xf numFmtId="0" fontId="0" fillId="0" borderId="34" xfId="0" applyFont="1" applyFill="1" applyBorder="1" applyAlignment="1">
      <alignment vertical="center"/>
    </xf>
    <xf numFmtId="0" fontId="16" fillId="0" borderId="43" xfId="0" applyFont="1" applyBorder="1" applyAlignment="1">
      <alignment vertical="center"/>
    </xf>
    <xf numFmtId="9" fontId="0" fillId="0" borderId="44" xfId="0" applyNumberFormat="1" applyBorder="1" applyAlignment="1">
      <alignment vertical="center"/>
    </xf>
    <xf numFmtId="0" fontId="21" fillId="0" borderId="50" xfId="0" applyFont="1" applyBorder="1" applyAlignment="1">
      <alignment vertical="center"/>
    </xf>
    <xf numFmtId="0" fontId="0" fillId="0" borderId="52" xfId="0" applyFont="1" applyBorder="1" applyAlignment="1">
      <alignment vertical="center"/>
    </xf>
    <xf numFmtId="0" fontId="0" fillId="8" borderId="131" xfId="0" applyFill="1" applyBorder="1" applyAlignment="1">
      <alignment vertical="center"/>
    </xf>
    <xf numFmtId="0" fontId="0" fillId="8" borderId="101" xfId="0" applyFill="1" applyBorder="1" applyAlignment="1">
      <alignment vertical="center"/>
    </xf>
    <xf numFmtId="0" fontId="0" fillId="8" borderId="28" xfId="0" applyFont="1" applyFill="1" applyBorder="1" applyAlignment="1">
      <alignment vertical="center"/>
    </xf>
    <xf numFmtId="0" fontId="0" fillId="8" borderId="130" xfId="0" applyFont="1" applyFill="1" applyBorder="1" applyAlignment="1">
      <alignment vertical="center"/>
    </xf>
    <xf numFmtId="0" fontId="0" fillId="8" borderId="45" xfId="0" applyFill="1" applyBorder="1" applyAlignment="1">
      <alignment vertical="center"/>
    </xf>
    <xf numFmtId="0" fontId="0" fillId="8" borderId="89" xfId="0" applyFill="1" applyBorder="1" applyAlignment="1">
      <alignment vertical="center"/>
    </xf>
    <xf numFmtId="0" fontId="0" fillId="8" borderId="104" xfId="0" applyFont="1" applyFill="1" applyBorder="1" applyAlignment="1">
      <alignment vertical="center"/>
    </xf>
    <xf numFmtId="0" fontId="0" fillId="0" borderId="64" xfId="0" applyFill="1" applyBorder="1" applyAlignment="1">
      <alignment vertical="center"/>
    </xf>
    <xf numFmtId="0" fontId="0" fillId="8" borderId="132" xfId="0" applyFill="1" applyBorder="1" applyAlignment="1">
      <alignment horizontal="center" vertical="center"/>
    </xf>
    <xf numFmtId="0" fontId="0" fillId="8" borderId="63" xfId="0" applyFill="1" applyBorder="1" applyAlignment="1">
      <alignment horizontal="center" vertical="center"/>
    </xf>
    <xf numFmtId="0" fontId="0" fillId="8" borderId="99" xfId="0" applyFill="1" applyBorder="1" applyAlignment="1">
      <alignment vertical="center"/>
    </xf>
    <xf numFmtId="0" fontId="0" fillId="0" borderId="13" xfId="0" applyFont="1" applyFill="1" applyBorder="1" applyAlignment="1">
      <alignment vertical="center"/>
    </xf>
    <xf numFmtId="0" fontId="0" fillId="0" borderId="48" xfId="0" applyNumberFormat="1" applyFill="1" applyBorder="1" applyAlignment="1">
      <alignment vertical="center"/>
    </xf>
    <xf numFmtId="0" fontId="0" fillId="4" borderId="2" xfId="0" applyFill="1" applyBorder="1" applyAlignment="1">
      <alignment horizontal="right" vertical="center"/>
    </xf>
    <xf numFmtId="0" fontId="0" fillId="4" borderId="31" xfId="0" applyFill="1" applyBorder="1" applyAlignment="1">
      <alignment horizontal="right" vertical="center"/>
    </xf>
    <xf numFmtId="0" fontId="0" fillId="4" borderId="6" xfId="0" applyFill="1" applyBorder="1" applyAlignment="1">
      <alignment horizontal="right" vertical="center"/>
    </xf>
    <xf numFmtId="0" fontId="0" fillId="4" borderId="15" xfId="0" applyFill="1" applyBorder="1" applyAlignment="1">
      <alignment horizontal="right" vertical="center"/>
    </xf>
    <xf numFmtId="0" fontId="0" fillId="4" borderId="129" xfId="0" applyFill="1" applyBorder="1" applyAlignment="1">
      <alignment vertical="center" shrinkToFit="1"/>
    </xf>
    <xf numFmtId="0" fontId="0" fillId="4" borderId="37" xfId="0" applyNumberFormat="1" applyFill="1" applyBorder="1" applyAlignment="1">
      <alignment vertical="center"/>
    </xf>
    <xf numFmtId="0" fontId="0" fillId="4" borderId="45" xfId="0" applyNumberFormat="1" applyFill="1"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0" fillId="10" borderId="14" xfId="0" applyNumberFormat="1" applyFill="1" applyBorder="1" applyAlignment="1">
      <alignment vertical="center"/>
    </xf>
    <xf numFmtId="0" fontId="0" fillId="10" borderId="15" xfId="0" applyNumberFormat="1" applyFill="1" applyBorder="1" applyAlignment="1">
      <alignment vertical="center"/>
    </xf>
    <xf numFmtId="0" fontId="0" fillId="4" borderId="21" xfId="0" applyFont="1" applyFill="1" applyBorder="1" applyAlignment="1">
      <alignment horizontal="center" vertical="center"/>
    </xf>
    <xf numFmtId="0" fontId="0" fillId="4" borderId="4" xfId="0" applyNumberFormat="1" applyFont="1" applyFill="1" applyBorder="1" applyAlignment="1">
      <alignment vertical="center"/>
    </xf>
    <xf numFmtId="0" fontId="0" fillId="4" borderId="30" xfId="0" applyFont="1" applyFill="1" applyBorder="1" applyAlignment="1">
      <alignment horizontal="center" vertical="center" shrinkToFit="1"/>
    </xf>
    <xf numFmtId="9" fontId="0" fillId="4" borderId="66" xfId="0" applyNumberFormat="1" applyFont="1" applyFill="1" applyBorder="1" applyAlignment="1">
      <alignment horizontal="center" vertical="center"/>
    </xf>
    <xf numFmtId="0" fontId="0" fillId="4" borderId="15" xfId="0" applyNumberFormat="1" applyFont="1" applyFill="1" applyBorder="1" applyAlignment="1">
      <alignment vertical="center"/>
    </xf>
    <xf numFmtId="0" fontId="0" fillId="10" borderId="131" xfId="0" applyFill="1" applyBorder="1" applyAlignment="1">
      <alignment vertical="center"/>
    </xf>
    <xf numFmtId="0" fontId="7" fillId="10" borderId="104" xfId="0" applyFont="1" applyFill="1" applyBorder="1" applyAlignment="1">
      <alignment vertical="center"/>
    </xf>
    <xf numFmtId="0" fontId="7" fillId="10" borderId="44" xfId="0" applyFont="1" applyFill="1" applyBorder="1" applyAlignment="1">
      <alignment vertical="center"/>
    </xf>
    <xf numFmtId="0" fontId="7" fillId="10" borderId="34" xfId="0" applyFont="1" applyFill="1" applyBorder="1" applyAlignment="1">
      <alignment vertical="center"/>
    </xf>
    <xf numFmtId="0" fontId="0" fillId="8" borderId="67" xfId="0" applyFill="1" applyBorder="1" applyAlignment="1">
      <alignment horizontal="center" vertical="center"/>
    </xf>
    <xf numFmtId="0" fontId="16" fillId="0" borderId="16" xfId="0" applyFont="1" applyFill="1" applyBorder="1" applyAlignment="1">
      <alignment vertical="center"/>
    </xf>
    <xf numFmtId="0" fontId="0" fillId="8" borderId="48" xfId="0" applyFont="1" applyFill="1" applyBorder="1" applyAlignment="1">
      <alignment horizontal="center" vertical="center"/>
    </xf>
    <xf numFmtId="0" fontId="0" fillId="8" borderId="0" xfId="0" applyFill="1" applyBorder="1" applyAlignment="1">
      <alignment horizontal="center" vertical="center" shrinkToFit="1"/>
    </xf>
    <xf numFmtId="0" fontId="0" fillId="8" borderId="65" xfId="0" applyNumberFormat="1" applyFill="1" applyBorder="1" applyAlignment="1">
      <alignment vertical="center" shrinkToFit="1"/>
    </xf>
    <xf numFmtId="0" fontId="0" fillId="8" borderId="48" xfId="0" applyNumberFormat="1" applyFill="1" applyBorder="1" applyAlignment="1">
      <alignment vertical="center"/>
    </xf>
    <xf numFmtId="9" fontId="0" fillId="8" borderId="49" xfId="0" applyNumberFormat="1" applyFill="1" applyBorder="1" applyAlignment="1">
      <alignment horizontal="center" vertical="center"/>
    </xf>
    <xf numFmtId="0" fontId="0" fillId="8" borderId="50" xfId="0" applyNumberFormat="1" applyFill="1" applyBorder="1" applyAlignment="1">
      <alignment vertical="center" shrinkToFit="1"/>
    </xf>
    <xf numFmtId="9" fontId="0" fillId="8" borderId="50" xfId="0" applyNumberFormat="1" applyFont="1" applyFill="1" applyBorder="1" applyAlignment="1">
      <alignment vertical="center"/>
    </xf>
    <xf numFmtId="0" fontId="0" fillId="8" borderId="50" xfId="0" applyFont="1" applyFill="1" applyBorder="1" applyAlignment="1">
      <alignment vertical="center"/>
    </xf>
    <xf numFmtId="0" fontId="0" fillId="0" borderId="52" xfId="0" applyFont="1" applyBorder="1" applyAlignment="1">
      <alignment vertical="center"/>
    </xf>
    <xf numFmtId="0" fontId="0" fillId="0" borderId="40" xfId="0" applyFont="1" applyBorder="1" applyAlignment="1">
      <alignment vertical="center"/>
    </xf>
    <xf numFmtId="0" fontId="0" fillId="4" borderId="9" xfId="0" applyNumberFormat="1" applyFill="1" applyBorder="1" applyAlignment="1">
      <alignment horizontal="right" vertical="center"/>
    </xf>
    <xf numFmtId="0" fontId="0" fillId="4" borderId="15" xfId="0" applyNumberFormat="1" applyFill="1" applyBorder="1" applyAlignment="1">
      <alignment horizontal="right" vertical="center"/>
    </xf>
    <xf numFmtId="178" fontId="0" fillId="0" borderId="32" xfId="0" applyNumberFormat="1" applyFill="1" applyBorder="1" applyAlignment="1">
      <alignment vertical="center"/>
    </xf>
    <xf numFmtId="0" fontId="16" fillId="6" borderId="45" xfId="0" applyFont="1" applyFill="1" applyBorder="1" applyAlignment="1">
      <alignment vertical="center"/>
    </xf>
    <xf numFmtId="176" fontId="7" fillId="6" borderId="5" xfId="0" applyNumberFormat="1" applyFont="1" applyFill="1" applyBorder="1" applyAlignment="1">
      <alignment vertical="center"/>
    </xf>
    <xf numFmtId="176" fontId="7" fillId="6" borderId="37" xfId="0" applyNumberFormat="1" applyFont="1" applyFill="1" applyBorder="1" applyAlignment="1">
      <alignment vertical="center"/>
    </xf>
    <xf numFmtId="176" fontId="7" fillId="6" borderId="45" xfId="0" applyNumberFormat="1" applyFont="1" applyFill="1" applyBorder="1" applyAlignment="1">
      <alignment vertical="center"/>
    </xf>
    <xf numFmtId="0" fontId="0" fillId="3" borderId="8" xfId="0" applyFill="1" applyBorder="1" applyAlignment="1">
      <alignment vertical="center"/>
    </xf>
    <xf numFmtId="176" fontId="7" fillId="3" borderId="8" xfId="0" applyNumberFormat="1" applyFont="1" applyFill="1" applyBorder="1" applyAlignment="1">
      <alignment vertical="center"/>
    </xf>
    <xf numFmtId="185" fontId="7" fillId="3" borderId="3" xfId="0" applyNumberFormat="1" applyFont="1" applyFill="1" applyBorder="1" applyAlignment="1">
      <alignment vertical="center"/>
    </xf>
    <xf numFmtId="185" fontId="7" fillId="3" borderId="4" xfId="0" applyNumberFormat="1" applyFont="1" applyFill="1" applyBorder="1" applyAlignment="1">
      <alignment vertical="center"/>
    </xf>
    <xf numFmtId="0" fontId="0" fillId="11" borderId="8" xfId="0" applyFill="1" applyBorder="1" applyAlignment="1">
      <alignment vertical="center"/>
    </xf>
    <xf numFmtId="176" fontId="7" fillId="11" borderId="8" xfId="0" applyNumberFormat="1" applyFont="1" applyFill="1" applyBorder="1" applyAlignment="1">
      <alignment vertical="center"/>
    </xf>
    <xf numFmtId="0" fontId="0" fillId="3" borderId="3" xfId="0" applyFill="1" applyBorder="1" applyAlignment="1">
      <alignment vertical="center"/>
    </xf>
    <xf numFmtId="176" fontId="7" fillId="3" borderId="9" xfId="0" applyNumberFormat="1" applyFont="1" applyFill="1" applyBorder="1" applyAlignment="1">
      <alignment vertical="center"/>
    </xf>
    <xf numFmtId="176" fontId="7" fillId="11" borderId="9" xfId="0" applyNumberFormat="1" applyFont="1" applyFill="1" applyBorder="1" applyAlignment="1">
      <alignment vertical="center"/>
    </xf>
    <xf numFmtId="0" fontId="0" fillId="6" borderId="14" xfId="0" applyFill="1" applyBorder="1" applyAlignment="1">
      <alignment vertical="center"/>
    </xf>
    <xf numFmtId="176" fontId="7" fillId="6" borderId="14" xfId="0" applyNumberFormat="1" applyFont="1" applyFill="1" applyBorder="1" applyAlignment="1">
      <alignment vertical="center"/>
    </xf>
    <xf numFmtId="176" fontId="7" fillId="6" borderId="15" xfId="0" applyNumberFormat="1" applyFont="1" applyFill="1" applyBorder="1" applyAlignment="1">
      <alignment vertical="center"/>
    </xf>
    <xf numFmtId="0" fontId="0" fillId="0" borderId="128"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13" borderId="27" xfId="0" applyFill="1" applyBorder="1" applyAlignment="1">
      <alignment vertical="center"/>
    </xf>
    <xf numFmtId="0" fontId="0" fillId="0" borderId="67" xfId="0" applyFill="1" applyBorder="1" applyAlignment="1">
      <alignment vertical="center"/>
    </xf>
    <xf numFmtId="0" fontId="21" fillId="0" borderId="64" xfId="0" applyFont="1" applyFill="1" applyBorder="1" applyAlignment="1">
      <alignment vertical="center"/>
    </xf>
    <xf numFmtId="0" fontId="0" fillId="0" borderId="52" xfId="0" applyFill="1" applyBorder="1" applyAlignment="1">
      <alignment vertical="center"/>
    </xf>
    <xf numFmtId="9" fontId="0" fillId="0" borderId="18" xfId="0" applyNumberFormat="1" applyFont="1" applyFill="1" applyBorder="1" applyAlignment="1">
      <alignment vertical="center"/>
    </xf>
    <xf numFmtId="0" fontId="0" fillId="4" borderId="20" xfId="0" applyFill="1" applyBorder="1" applyAlignment="1">
      <alignment horizontal="center" vertical="center"/>
    </xf>
    <xf numFmtId="0" fontId="0" fillId="0" borderId="66" xfId="0" applyBorder="1" applyAlignment="1">
      <alignment vertical="center"/>
    </xf>
    <xf numFmtId="0" fontId="0" fillId="0" borderId="21" xfId="0" applyFont="1" applyFill="1" applyBorder="1" applyAlignment="1">
      <alignment vertical="center"/>
    </xf>
    <xf numFmtId="9" fontId="0" fillId="0" borderId="14" xfId="0" applyNumberFormat="1" applyFont="1" applyBorder="1" applyAlignment="1">
      <alignment vertical="center"/>
    </xf>
    <xf numFmtId="0" fontId="0" fillId="8" borderId="1" xfId="0" applyFill="1" applyBorder="1" applyAlignment="1">
      <alignment vertical="center"/>
    </xf>
    <xf numFmtId="0" fontId="0" fillId="2" borderId="27" xfId="0" applyNumberFormat="1" applyFont="1" applyFill="1" applyBorder="1" applyAlignment="1">
      <alignment vertical="center"/>
    </xf>
    <xf numFmtId="0" fontId="0" fillId="0" borderId="62" xfId="0" applyBorder="1" applyAlignment="1">
      <alignment vertical="center" shrinkToFit="1"/>
    </xf>
    <xf numFmtId="0" fontId="0" fillId="0" borderId="61" xfId="0" applyBorder="1" applyAlignment="1">
      <alignment vertical="center" shrinkToFit="1"/>
    </xf>
    <xf numFmtId="0" fontId="0" fillId="2" borderId="17" xfId="0" applyNumberFormat="1" applyFont="1" applyFill="1" applyBorder="1" applyAlignment="1">
      <alignment vertical="center"/>
    </xf>
    <xf numFmtId="0" fontId="0" fillId="4" borderId="2" xfId="0" applyNumberFormat="1" applyFill="1" applyBorder="1" applyAlignment="1">
      <alignment vertical="center"/>
    </xf>
    <xf numFmtId="0" fontId="0" fillId="4" borderId="31" xfId="0" applyNumberFormat="1" applyFill="1" applyBorder="1" applyAlignment="1">
      <alignment vertical="center"/>
    </xf>
    <xf numFmtId="0" fontId="0" fillId="10" borderId="132" xfId="0" applyNumberFormat="1" applyFill="1" applyBorder="1" applyAlignment="1">
      <alignment vertical="center"/>
    </xf>
    <xf numFmtId="0" fontId="27" fillId="10" borderId="99" xfId="0" applyFont="1" applyFill="1" applyBorder="1" applyAlignment="1">
      <alignment vertical="center"/>
    </xf>
    <xf numFmtId="0" fontId="0" fillId="10" borderId="132" xfId="0" applyFill="1" applyBorder="1" applyAlignment="1">
      <alignment horizontal="center" vertical="center"/>
    </xf>
    <xf numFmtId="0" fontId="0" fillId="0" borderId="62" xfId="0" applyFill="1" applyBorder="1" applyAlignment="1">
      <alignment vertical="center"/>
    </xf>
    <xf numFmtId="0" fontId="16" fillId="10" borderId="132" xfId="0" applyFont="1" applyFill="1" applyBorder="1" applyAlignment="1">
      <alignment horizontal="center" vertical="center"/>
    </xf>
    <xf numFmtId="0" fontId="0" fillId="0" borderId="53" xfId="0" applyFill="1" applyBorder="1" applyAlignment="1">
      <alignment vertical="center"/>
    </xf>
    <xf numFmtId="0" fontId="0" fillId="0" borderId="98" xfId="0" applyFont="1" applyFill="1" applyBorder="1" applyAlignment="1">
      <alignment horizontal="center" vertical="center"/>
    </xf>
    <xf numFmtId="0" fontId="0" fillId="2" borderId="78" xfId="0" applyFill="1" applyBorder="1" applyAlignment="1">
      <alignment vertical="center"/>
    </xf>
    <xf numFmtId="0" fontId="16" fillId="10" borderId="13" xfId="0" applyFont="1" applyFill="1" applyBorder="1" applyAlignment="1">
      <alignment vertical="center"/>
    </xf>
    <xf numFmtId="0" fontId="0" fillId="0" borderId="26" xfId="0" applyFill="1" applyBorder="1" applyAlignment="1">
      <alignment horizontal="center" vertical="center"/>
    </xf>
    <xf numFmtId="0" fontId="0" fillId="0" borderId="98" xfId="0" applyFont="1" applyFill="1" applyBorder="1" applyAlignment="1">
      <alignment vertical="center"/>
    </xf>
    <xf numFmtId="0" fontId="0" fillId="0" borderId="78" xfId="0" applyFill="1" applyBorder="1" applyAlignment="1">
      <alignment vertical="center"/>
    </xf>
    <xf numFmtId="0" fontId="0" fillId="9" borderId="107" xfId="0" applyFont="1" applyFill="1" applyBorder="1" applyAlignment="1">
      <alignment vertical="center"/>
    </xf>
    <xf numFmtId="0" fontId="0" fillId="9" borderId="13" xfId="0" applyNumberFormat="1" applyFill="1" applyBorder="1" applyAlignment="1">
      <alignment vertical="center"/>
    </xf>
    <xf numFmtId="0" fontId="0" fillId="9" borderId="14" xfId="0" applyNumberFormat="1" applyFill="1" applyBorder="1" applyAlignment="1">
      <alignment vertical="center"/>
    </xf>
    <xf numFmtId="0" fontId="0" fillId="9" borderId="15" xfId="0" applyNumberFormat="1" applyFill="1" applyBorder="1" applyAlignment="1">
      <alignment vertical="center"/>
    </xf>
    <xf numFmtId="9" fontId="0" fillId="0" borderId="52" xfId="0" applyNumberFormat="1" applyFill="1" applyBorder="1" applyAlignment="1">
      <alignment vertical="center"/>
    </xf>
    <xf numFmtId="9" fontId="0" fillId="0" borderId="60" xfId="0" applyNumberFormat="1" applyFill="1" applyBorder="1" applyAlignment="1">
      <alignment vertical="center"/>
    </xf>
    <xf numFmtId="0" fontId="0" fillId="0" borderId="108" xfId="0" applyBorder="1" applyAlignment="1">
      <alignment vertical="center"/>
    </xf>
    <xf numFmtId="0" fontId="0" fillId="0" borderId="129" xfId="0" applyFill="1" applyBorder="1" applyAlignment="1">
      <alignment vertical="center"/>
    </xf>
    <xf numFmtId="0" fontId="0" fillId="0" borderId="129" xfId="0" applyBorder="1" applyAlignment="1">
      <alignment vertical="center"/>
    </xf>
    <xf numFmtId="0" fontId="0" fillId="10" borderId="129" xfId="0" applyFill="1" applyBorder="1" applyAlignment="1">
      <alignment vertical="center"/>
    </xf>
    <xf numFmtId="0" fontId="0" fillId="0" borderId="7" xfId="0" applyNumberFormat="1" applyBorder="1" applyAlignment="1">
      <alignment vertical="center"/>
    </xf>
    <xf numFmtId="0" fontId="0" fillId="10" borderId="7" xfId="0" applyNumberFormat="1" applyFill="1" applyBorder="1" applyAlignment="1">
      <alignment vertical="center"/>
    </xf>
    <xf numFmtId="0" fontId="16" fillId="10" borderId="131" xfId="0" applyFont="1" applyFill="1" applyBorder="1" applyAlignment="1">
      <alignment vertical="center"/>
    </xf>
    <xf numFmtId="0" fontId="7" fillId="10" borderId="5" xfId="0" applyNumberFormat="1" applyFont="1" applyFill="1" applyBorder="1" applyAlignment="1">
      <alignment vertical="center"/>
    </xf>
    <xf numFmtId="0" fontId="7" fillId="10" borderId="41" xfId="0" applyNumberFormat="1" applyFont="1" applyFill="1" applyBorder="1" applyAlignment="1">
      <alignment vertical="center"/>
    </xf>
    <xf numFmtId="0" fontId="7" fillId="10" borderId="38" xfId="0" applyNumberFormat="1" applyFont="1" applyFill="1" applyBorder="1" applyAlignment="1">
      <alignment vertical="center"/>
    </xf>
    <xf numFmtId="0" fontId="0" fillId="9" borderId="108" xfId="0" applyFont="1" applyFill="1" applyBorder="1" applyAlignment="1">
      <alignment vertical="center"/>
    </xf>
    <xf numFmtId="0" fontId="0" fillId="9" borderId="1" xfId="0" applyNumberFormat="1" applyFill="1" applyBorder="1" applyAlignment="1">
      <alignment vertical="center"/>
    </xf>
    <xf numFmtId="0" fontId="0" fillId="9" borderId="3" xfId="0" applyNumberFormat="1" applyFill="1" applyBorder="1" applyAlignment="1">
      <alignment vertical="center"/>
    </xf>
    <xf numFmtId="0" fontId="0" fillId="9" borderId="4" xfId="0" applyNumberFormat="1" applyFill="1" applyBorder="1" applyAlignment="1">
      <alignment vertical="center"/>
    </xf>
    <xf numFmtId="0" fontId="13" fillId="0" borderId="0" xfId="0" applyFont="1" applyAlignment="1">
      <alignment vertical="center"/>
    </xf>
    <xf numFmtId="0" fontId="0" fillId="11" borderId="10" xfId="0" applyFont="1" applyFill="1" applyBorder="1" applyAlignment="1">
      <alignment horizontal="center" vertical="center"/>
    </xf>
    <xf numFmtId="0" fontId="0" fillId="0" borderId="28" xfId="0" applyBorder="1" applyAlignment="1">
      <alignment vertical="center"/>
    </xf>
    <xf numFmtId="0" fontId="0" fillId="0" borderId="46" xfId="0" applyBorder="1" applyAlignment="1">
      <alignment horizontal="center" vertical="center"/>
    </xf>
    <xf numFmtId="9" fontId="0" fillId="2" borderId="107" xfId="0" applyNumberFormat="1" applyFill="1" applyBorder="1" applyAlignment="1">
      <alignment vertical="center"/>
    </xf>
    <xf numFmtId="9" fontId="0" fillId="2" borderId="94" xfId="0" applyNumberFormat="1" applyFill="1" applyBorder="1" applyAlignment="1">
      <alignment vertical="center"/>
    </xf>
    <xf numFmtId="0" fontId="0" fillId="0" borderId="130" xfId="0" applyBorder="1" applyAlignment="1">
      <alignment vertical="center"/>
    </xf>
    <xf numFmtId="0" fontId="0" fillId="0" borderId="100" xfId="0" applyBorder="1" applyAlignment="1">
      <alignment horizontal="center" vertical="center"/>
    </xf>
    <xf numFmtId="0" fontId="0" fillId="0" borderId="37" xfId="0"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12" borderId="16" xfId="0" applyFill="1" applyBorder="1" applyAlignment="1">
      <alignment horizontal="center" vertical="center"/>
    </xf>
    <xf numFmtId="0" fontId="0" fillId="12" borderId="62" xfId="0" applyFill="1" applyBorder="1" applyAlignment="1">
      <alignment horizontal="center" vertical="center"/>
    </xf>
    <xf numFmtId="0" fontId="0" fillId="12" borderId="27" xfId="0" applyFill="1" applyBorder="1" applyAlignment="1">
      <alignment horizontal="center" vertical="center"/>
    </xf>
    <xf numFmtId="0" fontId="0" fillId="5" borderId="65" xfId="0" applyFill="1" applyBorder="1" applyAlignment="1">
      <alignment horizontal="center" vertical="center"/>
    </xf>
    <xf numFmtId="0" fontId="0" fillId="0" borderId="52" xfId="0" applyBorder="1" applyAlignment="1">
      <alignment horizontal="right" vertical="center"/>
    </xf>
    <xf numFmtId="0" fontId="0" fillId="0" borderId="40" xfId="0" applyBorder="1" applyAlignment="1">
      <alignment horizontal="right" vertical="center"/>
    </xf>
    <xf numFmtId="0" fontId="0" fillId="0" borderId="131" xfId="0" applyBorder="1" applyAlignment="1">
      <alignment vertical="center"/>
    </xf>
    <xf numFmtId="0" fontId="0" fillId="5" borderId="67" xfId="0" applyFill="1" applyBorder="1" applyAlignment="1">
      <alignment horizontal="center" vertical="center"/>
    </xf>
    <xf numFmtId="0" fontId="0" fillId="2" borderId="64" xfId="0" applyFill="1" applyBorder="1" applyAlignment="1">
      <alignment horizontal="center" vertical="center"/>
    </xf>
    <xf numFmtId="0" fontId="0" fillId="2" borderId="67" xfId="0" applyFill="1" applyBorder="1" applyAlignment="1">
      <alignment horizontal="center" vertical="center"/>
    </xf>
    <xf numFmtId="0" fontId="0" fillId="0" borderId="20" xfId="0" applyBorder="1" applyAlignment="1">
      <alignment horizontal="right" vertical="center"/>
    </xf>
    <xf numFmtId="0" fontId="0" fillId="0" borderId="104" xfId="0" applyBorder="1" applyAlignment="1">
      <alignment horizontal="right" vertical="center"/>
    </xf>
    <xf numFmtId="0" fontId="0" fillId="5" borderId="64" xfId="0" applyFill="1" applyBorder="1" applyAlignment="1">
      <alignment horizontal="center" vertical="center"/>
    </xf>
    <xf numFmtId="0" fontId="0" fillId="10" borderId="21" xfId="0" applyFill="1" applyBorder="1" applyAlignment="1">
      <alignment horizontal="center" vertical="center"/>
    </xf>
    <xf numFmtId="0" fontId="0" fillId="10" borderId="30" xfId="0" applyFill="1" applyBorder="1" applyAlignment="1">
      <alignment horizontal="center" vertical="center"/>
    </xf>
    <xf numFmtId="0" fontId="0" fillId="10" borderId="66" xfId="0" applyFill="1" applyBorder="1" applyAlignment="1">
      <alignment horizontal="center" vertical="center"/>
    </xf>
    <xf numFmtId="0" fontId="0" fillId="0" borderId="108" xfId="0" applyBorder="1" applyAlignment="1">
      <alignment horizontal="center" vertical="center"/>
    </xf>
    <xf numFmtId="0" fontId="0" fillId="0" borderId="21" xfId="0" applyBorder="1" applyAlignment="1">
      <alignment horizontal="center" vertical="center"/>
    </xf>
    <xf numFmtId="0" fontId="0" fillId="0" borderId="129" xfId="0" applyBorder="1" applyAlignment="1">
      <alignment vertical="center" shrinkToFit="1"/>
    </xf>
    <xf numFmtId="0" fontId="0" fillId="0" borderId="30" xfId="0" applyBorder="1" applyAlignment="1">
      <alignment vertical="center" shrinkToFit="1"/>
    </xf>
    <xf numFmtId="0" fontId="0" fillId="8" borderId="13" xfId="0" applyFill="1" applyBorder="1" applyAlignment="1">
      <alignment horizontal="center" vertical="center"/>
    </xf>
    <xf numFmtId="0" fontId="7" fillId="5" borderId="51" xfId="0" applyFont="1" applyFill="1" applyBorder="1" applyAlignment="1">
      <alignment horizontal="center" vertical="center"/>
    </xf>
    <xf numFmtId="0" fontId="7" fillId="5" borderId="62" xfId="0" applyFont="1" applyFill="1" applyBorder="1" applyAlignment="1">
      <alignment horizontal="center" vertical="center"/>
    </xf>
    <xf numFmtId="0" fontId="7" fillId="5" borderId="79" xfId="0" applyFont="1" applyFill="1" applyBorder="1" applyAlignment="1">
      <alignment horizontal="center" vertical="center"/>
    </xf>
    <xf numFmtId="0" fontId="0" fillId="10" borderId="14" xfId="0"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0" fontId="0" fillId="8" borderId="32" xfId="0" applyFill="1" applyBorder="1" applyAlignment="1">
      <alignment horizontal="center" vertical="center"/>
    </xf>
    <xf numFmtId="0" fontId="0" fillId="8" borderId="50" xfId="0" applyFill="1" applyBorder="1" applyAlignment="1">
      <alignment horizontal="center" vertical="center"/>
    </xf>
    <xf numFmtId="0" fontId="0" fillId="10" borderId="3" xfId="0" applyFill="1" applyBorder="1" applyAlignment="1">
      <alignment horizontal="center" vertical="center"/>
    </xf>
    <xf numFmtId="0" fontId="0" fillId="10" borderId="8" xfId="0" applyFill="1" applyBorder="1" applyAlignment="1">
      <alignment horizontal="center" vertical="center"/>
    </xf>
    <xf numFmtId="0" fontId="0" fillId="0" borderId="133" xfId="0" applyBorder="1" applyAlignment="1">
      <alignment horizontal="center" vertical="center"/>
    </xf>
    <xf numFmtId="0" fontId="0" fillId="0" borderId="94" xfId="0" applyBorder="1" applyAlignment="1">
      <alignment horizontal="center" vertical="center"/>
    </xf>
    <xf numFmtId="176" fontId="7" fillId="9" borderId="49" xfId="0" applyNumberFormat="1" applyFont="1" applyFill="1" applyBorder="1" applyAlignment="1">
      <alignment vertical="center"/>
    </xf>
    <xf numFmtId="176" fontId="7" fillId="9" borderId="50" xfId="0" applyNumberFormat="1" applyFont="1" applyFill="1" applyBorder="1" applyAlignment="1">
      <alignment vertical="center"/>
    </xf>
    <xf numFmtId="0" fontId="0" fillId="10" borderId="15" xfId="0" applyFill="1" applyBorder="1" applyAlignment="1">
      <alignment horizontal="center" vertical="center"/>
    </xf>
    <xf numFmtId="176" fontId="7" fillId="9" borderId="0" xfId="0" applyNumberFormat="1" applyFont="1" applyFill="1" applyBorder="1" applyAlignment="1">
      <alignment vertical="center"/>
    </xf>
    <xf numFmtId="176" fontId="7" fillId="9" borderId="48" xfId="0" applyNumberFormat="1" applyFont="1" applyFill="1" applyBorder="1" applyAlignment="1">
      <alignment vertical="center"/>
    </xf>
    <xf numFmtId="0" fontId="0" fillId="10" borderId="9" xfId="0" applyFill="1" applyBorder="1" applyAlignment="1">
      <alignment horizontal="center" vertical="center"/>
    </xf>
    <xf numFmtId="0" fontId="0" fillId="0" borderId="134" xfId="0" applyBorder="1" applyAlignment="1">
      <alignment horizontal="center" vertical="center"/>
    </xf>
    <xf numFmtId="0" fontId="0" fillId="10" borderId="4" xfId="0" applyFill="1" applyBorder="1" applyAlignment="1">
      <alignment horizontal="center" vertical="center"/>
    </xf>
    <xf numFmtId="178" fontId="0" fillId="10" borderId="62" xfId="0" applyNumberFormat="1" applyFill="1" applyBorder="1" applyAlignment="1">
      <alignment horizontal="center" vertical="center"/>
    </xf>
    <xf numFmtId="178" fontId="0" fillId="10" borderId="79" xfId="0" applyNumberFormat="1" applyFill="1" applyBorder="1" applyAlignment="1">
      <alignment horizontal="center" vertical="center"/>
    </xf>
    <xf numFmtId="0" fontId="0" fillId="0" borderId="135" xfId="0" applyBorder="1" applyAlignment="1">
      <alignment horizontal="center" vertical="center"/>
    </xf>
    <xf numFmtId="0" fontId="0" fillId="0" borderId="51" xfId="0" applyBorder="1" applyAlignment="1">
      <alignment horizontal="right" vertical="center"/>
    </xf>
    <xf numFmtId="0" fontId="0" fillId="0" borderId="61" xfId="0" applyBorder="1" applyAlignment="1">
      <alignment horizontal="right" vertical="center"/>
    </xf>
    <xf numFmtId="0" fontId="0" fillId="0" borderId="136" xfId="0" applyBorder="1" applyAlignment="1">
      <alignment horizontal="center" vertical="center"/>
    </xf>
    <xf numFmtId="6" fontId="7" fillId="5" borderId="62" xfId="19" applyFont="1" applyFill="1" applyBorder="1" applyAlignment="1">
      <alignment horizontal="center" vertical="center"/>
    </xf>
    <xf numFmtId="6" fontId="7" fillId="5" borderId="79" xfId="19" applyFont="1" applyFill="1" applyBorder="1" applyAlignment="1">
      <alignment horizontal="center" vertical="center"/>
    </xf>
    <xf numFmtId="178" fontId="0" fillId="10" borderId="51" xfId="0" applyNumberFormat="1" applyFill="1" applyBorder="1" applyAlignment="1">
      <alignment horizontal="center" vertical="center"/>
    </xf>
    <xf numFmtId="0" fontId="0" fillId="0" borderId="5" xfId="0" applyBorder="1" applyAlignment="1">
      <alignment horizontal="center" vertical="center"/>
    </xf>
    <xf numFmtId="0" fontId="0" fillId="0" borderId="101" xfId="0" applyBorder="1" applyAlignment="1">
      <alignment horizontal="center" vertical="center"/>
    </xf>
    <xf numFmtId="0" fontId="0" fillId="0" borderId="38" xfId="0" applyBorder="1" applyAlignment="1">
      <alignment horizontal="center" vertical="center"/>
    </xf>
    <xf numFmtId="6" fontId="7" fillId="5" borderId="51" xfId="19" applyFont="1" applyFill="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9" fontId="0" fillId="2" borderId="16" xfId="0" applyNumberFormat="1" applyFill="1" applyBorder="1" applyAlignment="1">
      <alignment vertical="center"/>
    </xf>
    <xf numFmtId="9" fontId="0" fillId="2" borderId="62" xfId="0" applyNumberFormat="1" applyFill="1" applyBorder="1" applyAlignment="1">
      <alignment vertical="center"/>
    </xf>
    <xf numFmtId="9" fontId="0" fillId="2" borderId="27" xfId="0" applyNumberForma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0" fillId="4" borderId="62" xfId="0" applyFill="1" applyBorder="1" applyAlignment="1">
      <alignment horizontal="center" vertical="center"/>
    </xf>
    <xf numFmtId="0" fontId="0" fillId="4" borderId="79" xfId="0" applyFill="1"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9" fontId="0" fillId="2" borderId="13" xfId="0" applyNumberFormat="1" applyFill="1" applyBorder="1" applyAlignment="1">
      <alignment vertical="center"/>
    </xf>
    <xf numFmtId="9" fontId="0" fillId="2" borderId="92" xfId="0" applyNumberFormat="1" applyFill="1" applyBorder="1" applyAlignment="1">
      <alignment vertical="center"/>
    </xf>
    <xf numFmtId="9" fontId="0" fillId="2" borderId="15" xfId="0" applyNumberFormat="1" applyFill="1" applyBorder="1" applyAlignment="1">
      <alignmen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4" borderId="51" xfId="0" applyFill="1" applyBorder="1" applyAlignment="1">
      <alignment horizontal="center" vertical="center"/>
    </xf>
    <xf numFmtId="0" fontId="0" fillId="11" borderId="11" xfId="0" applyFont="1" applyFill="1" applyBorder="1" applyAlignment="1">
      <alignment horizontal="center" vertical="center"/>
    </xf>
    <xf numFmtId="0" fontId="0" fillId="10" borderId="10" xfId="0" applyFill="1" applyBorder="1" applyAlignment="1">
      <alignment horizontal="center" vertical="center"/>
    </xf>
    <xf numFmtId="0" fontId="0" fillId="10" borderId="87" xfId="0" applyFill="1" applyBorder="1" applyAlignment="1">
      <alignment horizontal="center" vertical="center"/>
    </xf>
    <xf numFmtId="0" fontId="0" fillId="10" borderId="12" xfId="0" applyFill="1" applyBorder="1" applyAlignment="1">
      <alignment horizontal="center" vertical="center"/>
    </xf>
    <xf numFmtId="0" fontId="0" fillId="10" borderId="1" xfId="0" applyFill="1" applyBorder="1" applyAlignment="1">
      <alignment horizontal="center" vertical="center"/>
    </xf>
    <xf numFmtId="9" fontId="0" fillId="2" borderId="14" xfId="0" applyNumberFormat="1" applyFill="1" applyBorder="1" applyAlignment="1">
      <alignment vertical="center"/>
    </xf>
    <xf numFmtId="0" fontId="4" fillId="0" borderId="0" xfId="0" applyFont="1" applyBorder="1" applyAlignment="1">
      <alignment horizontal="center" vertical="center"/>
    </xf>
    <xf numFmtId="0" fontId="0" fillId="5" borderId="51" xfId="0" applyFill="1" applyBorder="1" applyAlignment="1">
      <alignment horizontal="center" vertical="center"/>
    </xf>
    <xf numFmtId="0" fontId="0" fillId="5" borderId="62" xfId="0" applyFill="1" applyBorder="1" applyAlignment="1">
      <alignment horizontal="center" vertical="center"/>
    </xf>
    <xf numFmtId="0" fontId="0" fillId="5" borderId="79" xfId="0"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10" borderId="32" xfId="0" applyFill="1" applyBorder="1" applyAlignment="1">
      <alignment horizontal="center" vertical="center"/>
    </xf>
    <xf numFmtId="0" fontId="0" fillId="10" borderId="49" xfId="0" applyFill="1" applyBorder="1" applyAlignment="1">
      <alignment horizontal="center" vertical="center"/>
    </xf>
    <xf numFmtId="0" fontId="0" fillId="10" borderId="50" xfId="0" applyFill="1" applyBorder="1" applyAlignment="1">
      <alignment horizontal="center" vertical="center"/>
    </xf>
    <xf numFmtId="0" fontId="0" fillId="8" borderId="10" xfId="0" applyFill="1" applyBorder="1" applyAlignment="1">
      <alignment horizontal="center" vertical="center"/>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62" xfId="0" applyFont="1" applyFill="1" applyBorder="1" applyAlignment="1">
      <alignment horizontal="center" vertical="center"/>
    </xf>
    <xf numFmtId="0" fontId="26" fillId="5" borderId="79"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4" xfId="0" applyFont="1" applyFill="1"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11" borderId="7" xfId="0" applyFill="1" applyBorder="1" applyAlignment="1">
      <alignment horizontal="center" vertical="center"/>
    </xf>
    <xf numFmtId="0" fontId="0" fillId="11" borderId="8" xfId="0" applyFill="1" applyBorder="1" applyAlignment="1">
      <alignment horizontal="center" vertical="center"/>
    </xf>
    <xf numFmtId="0" fontId="0" fillId="11" borderId="16" xfId="0" applyFont="1" applyFill="1" applyBorder="1" applyAlignment="1">
      <alignment horizontal="center" vertical="center"/>
    </xf>
    <xf numFmtId="0" fontId="0" fillId="11" borderId="18" xfId="0" applyFont="1" applyFill="1" applyBorder="1" applyAlignment="1">
      <alignment horizontal="center" vertical="center"/>
    </xf>
    <xf numFmtId="0" fontId="0" fillId="11" borderId="27" xfId="0" applyFont="1" applyFill="1" applyBorder="1" applyAlignment="1">
      <alignment horizontal="center" vertical="center"/>
    </xf>
    <xf numFmtId="0" fontId="8" fillId="6" borderId="1" xfId="0" applyFont="1" applyFill="1" applyBorder="1" applyAlignment="1">
      <alignment horizontal="left" vertical="center"/>
    </xf>
    <xf numFmtId="0" fontId="8" fillId="6" borderId="3" xfId="0" applyFont="1" applyFill="1" applyBorder="1" applyAlignment="1">
      <alignment horizontal="left"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10" fontId="7" fillId="4" borderId="51" xfId="0" applyNumberFormat="1" applyFont="1" applyFill="1" applyBorder="1" applyAlignment="1">
      <alignment horizontal="center" vertical="center"/>
    </xf>
    <xf numFmtId="10" fontId="7" fillId="4" borderId="62" xfId="0" applyNumberFormat="1" applyFont="1" applyFill="1" applyBorder="1" applyAlignment="1">
      <alignment horizontal="center" vertical="center"/>
    </xf>
    <xf numFmtId="10" fontId="7" fillId="4" borderId="79" xfId="0" applyNumberFormat="1" applyFont="1" applyFill="1" applyBorder="1" applyAlignment="1">
      <alignment horizontal="center" vertical="center"/>
    </xf>
    <xf numFmtId="0" fontId="0" fillId="3" borderId="51" xfId="0" applyFill="1" applyBorder="1" applyAlignment="1">
      <alignment horizontal="center" vertical="center"/>
    </xf>
    <xf numFmtId="0" fontId="0" fillId="3" borderId="62" xfId="0" applyFont="1" applyFill="1" applyBorder="1" applyAlignment="1">
      <alignment horizontal="center" vertical="center"/>
    </xf>
    <xf numFmtId="0" fontId="0" fillId="3" borderId="79" xfId="0" applyFont="1" applyFill="1" applyBorder="1" applyAlignment="1">
      <alignment horizontal="center" vertical="center"/>
    </xf>
    <xf numFmtId="0" fontId="0" fillId="15" borderId="64" xfId="0" applyFont="1" applyFill="1" applyBorder="1" applyAlignment="1">
      <alignment horizontal="center" vertical="center"/>
    </xf>
    <xf numFmtId="0" fontId="0" fillId="15" borderId="67" xfId="0" applyFont="1" applyFill="1" applyBorder="1" applyAlignment="1">
      <alignment horizontal="center" vertical="center"/>
    </xf>
    <xf numFmtId="0" fontId="0" fillId="10" borderId="108" xfId="0" applyFill="1" applyBorder="1" applyAlignment="1">
      <alignment horizontal="center" vertical="center"/>
    </xf>
    <xf numFmtId="0" fontId="0" fillId="10" borderId="46" xfId="0" applyFill="1" applyBorder="1" applyAlignment="1">
      <alignment horizontal="center" vertical="center"/>
    </xf>
    <xf numFmtId="0" fontId="8" fillId="0" borderId="13" xfId="0" applyFont="1" applyBorder="1" applyAlignment="1">
      <alignment horizontal="left" vertical="center"/>
    </xf>
    <xf numFmtId="0" fontId="8" fillId="0" borderId="66" xfId="0" applyFont="1" applyBorder="1" applyAlignment="1">
      <alignment horizontal="left" vertical="center"/>
    </xf>
    <xf numFmtId="0" fontId="8" fillId="0" borderId="14" xfId="0" applyFont="1" applyBorder="1" applyAlignment="1">
      <alignment horizontal="left" vertical="center"/>
    </xf>
    <xf numFmtId="0" fontId="8" fillId="0" borderId="31"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30" xfId="0" applyFont="1" applyBorder="1" applyAlignment="1">
      <alignment horizontal="left" vertical="center"/>
    </xf>
    <xf numFmtId="0" fontId="8" fillId="0" borderId="8" xfId="0" applyFont="1" applyBorder="1" applyAlignment="1">
      <alignment horizontal="left" vertical="center"/>
    </xf>
    <xf numFmtId="0" fontId="8" fillId="0" borderId="39" xfId="0" applyFont="1" applyBorder="1" applyAlignment="1">
      <alignment horizontal="left" vertical="center"/>
    </xf>
    <xf numFmtId="0" fontId="8" fillId="0" borderId="9" xfId="0" applyFont="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7" fillId="4" borderId="64" xfId="0" applyFont="1" applyFill="1" applyBorder="1" applyAlignment="1">
      <alignment horizontal="center" vertical="center"/>
    </xf>
    <xf numFmtId="0" fontId="7" fillId="4" borderId="67" xfId="0" applyFont="1" applyFill="1" applyBorder="1" applyAlignment="1">
      <alignment horizontal="center" vertical="center"/>
    </xf>
    <xf numFmtId="0" fontId="0" fillId="6" borderId="1" xfId="0" applyFont="1" applyFill="1" applyBorder="1" applyAlignment="1">
      <alignment horizontal="left" vertical="center"/>
    </xf>
    <xf numFmtId="0" fontId="0" fillId="6" borderId="3" xfId="0" applyFont="1" applyFill="1" applyBorder="1" applyAlignment="1">
      <alignment horizontal="left" vertical="center"/>
    </xf>
    <xf numFmtId="0" fontId="0" fillId="0" borderId="8" xfId="0" applyBorder="1" applyAlignment="1">
      <alignment horizontal="center" vertical="center"/>
    </xf>
    <xf numFmtId="0" fontId="0" fillId="0" borderId="107" xfId="0" applyBorder="1" applyAlignment="1">
      <alignment horizontal="right" vertical="center"/>
    </xf>
    <xf numFmtId="0" fontId="0" fillId="0" borderId="92" xfId="0" applyBorder="1" applyAlignment="1">
      <alignment horizontal="right" vertical="center"/>
    </xf>
    <xf numFmtId="0" fontId="0" fillId="0" borderId="94" xfId="0" applyBorder="1" applyAlignment="1">
      <alignment horizontal="right" vertical="center"/>
    </xf>
    <xf numFmtId="0" fontId="0" fillId="0" borderId="129" xfId="0" applyBorder="1" applyAlignment="1">
      <alignment horizontal="center" vertical="center"/>
    </xf>
    <xf numFmtId="0" fontId="0" fillId="0" borderId="30" xfId="0" applyBorder="1" applyAlignment="1">
      <alignment horizontal="center" vertical="center"/>
    </xf>
    <xf numFmtId="0" fontId="7" fillId="4" borderId="51" xfId="0" applyFont="1" applyFill="1" applyBorder="1" applyAlignment="1">
      <alignment horizontal="right" vertical="center"/>
    </xf>
    <xf numFmtId="0" fontId="7" fillId="4" borderId="62" xfId="0" applyFont="1" applyFill="1" applyBorder="1" applyAlignment="1">
      <alignment horizontal="right" vertical="center"/>
    </xf>
    <xf numFmtId="0" fontId="7" fillId="4" borderId="79" xfId="0" applyFont="1" applyFill="1" applyBorder="1" applyAlignment="1">
      <alignment horizontal="right" vertical="center"/>
    </xf>
    <xf numFmtId="0" fontId="0" fillId="6" borderId="7" xfId="0" applyFill="1" applyBorder="1" applyAlignment="1">
      <alignment horizontal="left" vertical="center"/>
    </xf>
    <xf numFmtId="0" fontId="0" fillId="6" borderId="8" xfId="0" applyFill="1" applyBorder="1" applyAlignment="1">
      <alignment horizontal="left" vertical="center"/>
    </xf>
    <xf numFmtId="0" fontId="16" fillId="4" borderId="135" xfId="0" applyFont="1" applyFill="1" applyBorder="1" applyAlignment="1">
      <alignment horizontal="center" vertical="center" wrapText="1"/>
    </xf>
    <xf numFmtId="0" fontId="16" fillId="4" borderId="104" xfId="0" applyFont="1" applyFill="1" applyBorder="1" applyAlignment="1">
      <alignment horizontal="center" vertical="center" wrapText="1"/>
    </xf>
    <xf numFmtId="0" fontId="0" fillId="16" borderId="16" xfId="0" applyFont="1" applyFill="1" applyBorder="1" applyAlignment="1">
      <alignment horizontal="center" vertical="center"/>
    </xf>
    <xf numFmtId="0" fontId="0" fillId="16" borderId="18" xfId="0" applyFont="1" applyFill="1" applyBorder="1" applyAlignment="1">
      <alignment horizontal="center" vertical="center"/>
    </xf>
    <xf numFmtId="0" fontId="0" fillId="16" borderId="27" xfId="0" applyFont="1" applyFill="1" applyBorder="1" applyAlignment="1">
      <alignment horizontal="center" vertical="center"/>
    </xf>
    <xf numFmtId="0" fontId="0" fillId="3" borderId="62" xfId="0" applyFill="1" applyBorder="1" applyAlignment="1">
      <alignment horizontal="center" vertical="center"/>
    </xf>
    <xf numFmtId="0" fontId="0" fillId="3" borderId="79" xfId="0" applyFill="1" applyBorder="1" applyAlignment="1">
      <alignment horizontal="center" vertical="center"/>
    </xf>
    <xf numFmtId="0" fontId="0" fillId="10" borderId="51" xfId="0" applyFill="1" applyBorder="1" applyAlignment="1">
      <alignment horizontal="center" vertical="center"/>
    </xf>
    <xf numFmtId="0" fontId="0" fillId="10" borderId="62" xfId="0" applyFill="1" applyBorder="1" applyAlignment="1">
      <alignment horizontal="center" vertical="center"/>
    </xf>
    <xf numFmtId="0" fontId="0" fillId="10" borderId="79" xfId="0" applyFill="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10" borderId="130" xfId="0" applyFill="1" applyBorder="1" applyAlignment="1">
      <alignment horizontal="center" vertical="center"/>
    </xf>
    <xf numFmtId="0" fontId="0" fillId="10" borderId="89" xfId="0"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15" fillId="8" borderId="7" xfId="0" applyFont="1" applyFill="1" applyBorder="1" applyAlignment="1">
      <alignment vertical="center"/>
    </xf>
    <xf numFmtId="0" fontId="15" fillId="8" borderId="8" xfId="0" applyFont="1" applyFill="1" applyBorder="1" applyAlignment="1">
      <alignment vertical="center"/>
    </xf>
    <xf numFmtId="0" fontId="15" fillId="8" borderId="9" xfId="0" applyFont="1" applyFill="1" applyBorder="1" applyAlignment="1">
      <alignment vertical="center"/>
    </xf>
    <xf numFmtId="0" fontId="8" fillId="8" borderId="7" xfId="0" applyFont="1" applyFill="1" applyBorder="1" applyAlignment="1">
      <alignment vertical="center"/>
    </xf>
    <xf numFmtId="0" fontId="8" fillId="8" borderId="8" xfId="0" applyFont="1" applyFill="1" applyBorder="1" applyAlignment="1">
      <alignment vertical="center"/>
    </xf>
    <xf numFmtId="0" fontId="8" fillId="8" borderId="9" xfId="0" applyFont="1" applyFill="1" applyBorder="1" applyAlignment="1">
      <alignment vertical="center"/>
    </xf>
    <xf numFmtId="0" fontId="8" fillId="8" borderId="7" xfId="0" applyFont="1" applyFill="1" applyBorder="1" applyAlignment="1">
      <alignment horizontal="left" vertical="center"/>
    </xf>
    <xf numFmtId="0" fontId="8" fillId="8" borderId="8" xfId="0" applyFont="1" applyFill="1" applyBorder="1" applyAlignment="1">
      <alignment horizontal="left" vertical="center"/>
    </xf>
    <xf numFmtId="0" fontId="8" fillId="8" borderId="9" xfId="0" applyFont="1" applyFill="1" applyBorder="1" applyAlignment="1">
      <alignment horizontal="left" vertical="center"/>
    </xf>
    <xf numFmtId="0" fontId="0" fillId="0" borderId="137" xfId="0" applyFont="1" applyBorder="1" applyAlignment="1">
      <alignment horizontal="right" vertical="center"/>
    </xf>
    <xf numFmtId="0" fontId="0" fillId="0" borderId="138" xfId="0" applyFont="1" applyBorder="1" applyAlignment="1">
      <alignment horizontal="right" vertical="center"/>
    </xf>
    <xf numFmtId="0" fontId="0" fillId="0" borderId="51" xfId="0" applyFont="1" applyBorder="1" applyAlignment="1">
      <alignment horizontal="right" vertical="center"/>
    </xf>
    <xf numFmtId="0" fontId="0" fillId="0" borderId="62" xfId="0" applyFont="1" applyBorder="1" applyAlignment="1">
      <alignment horizontal="right" vertical="center"/>
    </xf>
    <xf numFmtId="0" fontId="0" fillId="0" borderId="1" xfId="0" applyNumberFormat="1" applyFont="1" applyBorder="1" applyAlignment="1">
      <alignment horizontal="center" vertical="center" shrinkToFit="1"/>
    </xf>
    <xf numFmtId="0" fontId="0" fillId="0" borderId="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41" xfId="0" applyFont="1" applyFill="1" applyBorder="1" applyAlignment="1">
      <alignment horizontal="center" vertical="center"/>
    </xf>
    <xf numFmtId="0" fontId="0" fillId="0" borderId="64" xfId="0" applyBorder="1" applyAlignment="1">
      <alignment horizontal="right" vertical="center"/>
    </xf>
    <xf numFmtId="0" fontId="0" fillId="0" borderId="135" xfId="0" applyBorder="1" applyAlignment="1">
      <alignment horizontal="right" vertical="center"/>
    </xf>
    <xf numFmtId="0" fontId="16" fillId="4" borderId="14" xfId="0" applyFont="1" applyFill="1" applyBorder="1" applyAlignment="1">
      <alignment horizontal="center" vertical="center"/>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16" fillId="4" borderId="52"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0" fillId="8" borderId="64" xfId="0" applyFill="1" applyBorder="1" applyAlignment="1">
      <alignment horizontal="right" vertical="center"/>
    </xf>
    <xf numFmtId="0" fontId="0" fillId="8" borderId="67" xfId="0" applyFill="1" applyBorder="1" applyAlignment="1">
      <alignment horizontal="right"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35" xfId="0" applyBorder="1" applyAlignment="1">
      <alignment horizontal="center" vertical="center"/>
    </xf>
    <xf numFmtId="179" fontId="0" fillId="0" borderId="40" xfId="0" applyNumberFormat="1" applyFont="1" applyBorder="1" applyAlignment="1">
      <alignment horizontal="center" vertical="center"/>
    </xf>
    <xf numFmtId="179" fontId="0" fillId="0" borderId="26" xfId="0" applyNumberFormat="1" applyFont="1" applyBorder="1" applyAlignment="1">
      <alignment horizontal="center" vertical="center"/>
    </xf>
    <xf numFmtId="0" fontId="0" fillId="0" borderId="10" xfId="0" applyNumberFormat="1" applyFont="1" applyBorder="1" applyAlignment="1">
      <alignment horizontal="center" vertical="center" shrinkToFit="1"/>
    </xf>
    <xf numFmtId="0" fontId="0" fillId="0" borderId="52" xfId="0" applyFont="1" applyBorder="1" applyAlignment="1">
      <alignment horizontal="right" vertical="center"/>
    </xf>
    <xf numFmtId="0" fontId="0" fillId="0" borderId="60" xfId="0" applyFont="1" applyBorder="1" applyAlignment="1">
      <alignment horizontal="right" vertical="center"/>
    </xf>
    <xf numFmtId="185" fontId="7" fillId="9" borderId="18" xfId="0" applyNumberFormat="1" applyFont="1" applyFill="1" applyBorder="1" applyAlignment="1">
      <alignment vertical="center"/>
    </xf>
    <xf numFmtId="185" fontId="7" fillId="9" borderId="27" xfId="0" applyNumberFormat="1" applyFont="1" applyFill="1" applyBorder="1" applyAlignment="1">
      <alignment vertical="center"/>
    </xf>
    <xf numFmtId="0" fontId="0" fillId="10" borderId="11" xfId="0" applyFill="1" applyBorder="1" applyAlignment="1">
      <alignment horizontal="center" vertical="center"/>
    </xf>
    <xf numFmtId="0" fontId="0" fillId="0" borderId="51" xfId="0" applyFont="1" applyFill="1" applyBorder="1" applyAlignment="1">
      <alignment horizontal="right" vertical="center"/>
    </xf>
    <xf numFmtId="0" fontId="0" fillId="0" borderId="61" xfId="0" applyFont="1" applyFill="1" applyBorder="1" applyAlignment="1">
      <alignment horizontal="right" vertical="center"/>
    </xf>
    <xf numFmtId="0" fontId="7" fillId="0" borderId="5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79" xfId="0" applyFont="1" applyFill="1" applyBorder="1" applyAlignment="1">
      <alignment horizontal="center" vertical="center"/>
    </xf>
    <xf numFmtId="0" fontId="0" fillId="10" borderId="41" xfId="0" applyFill="1" applyBorder="1" applyAlignment="1">
      <alignment horizontal="center" vertical="center"/>
    </xf>
    <xf numFmtId="0" fontId="0" fillId="0" borderId="5" xfId="0" applyNumberFormat="1" applyFont="1" applyBorder="1" applyAlignment="1">
      <alignment horizontal="center" vertical="center" shrinkToFit="1"/>
    </xf>
    <xf numFmtId="0" fontId="0" fillId="10" borderId="12" xfId="0" applyNumberFormat="1" applyFont="1" applyFill="1" applyBorder="1" applyAlignment="1">
      <alignment horizontal="right" vertical="center"/>
    </xf>
    <xf numFmtId="0" fontId="0" fillId="10" borderId="9" xfId="0" applyNumberFormat="1" applyFont="1" applyFill="1" applyBorder="1" applyAlignment="1">
      <alignment horizontal="right" vertical="center"/>
    </xf>
    <xf numFmtId="0" fontId="0" fillId="10" borderId="38" xfId="0" applyNumberFormat="1" applyFont="1" applyFill="1" applyBorder="1" applyAlignment="1">
      <alignment horizontal="right" vertical="center"/>
    </xf>
    <xf numFmtId="185" fontId="7" fillId="9" borderId="28" xfId="0" applyNumberFormat="1" applyFont="1" applyFill="1" applyBorder="1" applyAlignment="1">
      <alignment vertical="center"/>
    </xf>
    <xf numFmtId="185" fontId="7" fillId="9" borderId="11" xfId="0" applyNumberFormat="1" applyFont="1" applyFill="1" applyBorder="1" applyAlignment="1">
      <alignment vertical="center"/>
    </xf>
    <xf numFmtId="185" fontId="7" fillId="9" borderId="12" xfId="0" applyNumberFormat="1" applyFont="1" applyFill="1" applyBorder="1" applyAlignment="1">
      <alignment vertical="center"/>
    </xf>
    <xf numFmtId="185" fontId="7" fillId="9" borderId="30" xfId="0" applyNumberFormat="1" applyFont="1" applyFill="1" applyBorder="1" applyAlignment="1">
      <alignment vertical="center"/>
    </xf>
    <xf numFmtId="185" fontId="7" fillId="9" borderId="8" xfId="0" applyNumberFormat="1" applyFont="1" applyFill="1" applyBorder="1" applyAlignment="1">
      <alignment vertical="center"/>
    </xf>
    <xf numFmtId="185" fontId="7" fillId="9" borderId="9" xfId="0" applyNumberFormat="1" applyFont="1" applyFill="1" applyBorder="1" applyAlignment="1">
      <alignment vertical="center"/>
    </xf>
    <xf numFmtId="185" fontId="7" fillId="9" borderId="66" xfId="0" applyNumberFormat="1" applyFont="1" applyFill="1" applyBorder="1" applyAlignment="1">
      <alignment vertical="center"/>
    </xf>
    <xf numFmtId="185" fontId="7" fillId="9" borderId="14" xfId="0" applyNumberFormat="1" applyFont="1" applyFill="1" applyBorder="1" applyAlignment="1">
      <alignment vertical="center"/>
    </xf>
    <xf numFmtId="185" fontId="7" fillId="9" borderId="15" xfId="0" applyNumberFormat="1" applyFont="1" applyFill="1" applyBorder="1" applyAlignment="1">
      <alignment vertical="center"/>
    </xf>
    <xf numFmtId="0" fontId="7" fillId="5" borderId="67" xfId="0" applyFont="1" applyFill="1" applyBorder="1" applyAlignment="1">
      <alignment horizontal="center" vertical="center"/>
    </xf>
    <xf numFmtId="0" fontId="0" fillId="10" borderId="15" xfId="0" applyNumberFormat="1" applyFont="1" applyFill="1" applyBorder="1" applyAlignment="1">
      <alignment horizontal="right" vertical="center"/>
    </xf>
    <xf numFmtId="0" fontId="0" fillId="2" borderId="51" xfId="0" applyFill="1" applyBorder="1" applyAlignment="1">
      <alignment horizontal="center" vertical="center"/>
    </xf>
    <xf numFmtId="0" fontId="0" fillId="2" borderId="62" xfId="0" applyFill="1" applyBorder="1" applyAlignment="1">
      <alignment horizontal="center" vertical="center"/>
    </xf>
    <xf numFmtId="0" fontId="0" fillId="8" borderId="108" xfId="0" applyFill="1" applyBorder="1" applyAlignment="1">
      <alignment vertical="center"/>
    </xf>
    <xf numFmtId="0" fontId="0" fillId="8" borderId="21" xfId="0" applyFill="1" applyBorder="1" applyAlignment="1">
      <alignment vertical="center"/>
    </xf>
    <xf numFmtId="0" fontId="0" fillId="8" borderId="129" xfId="0" applyFill="1" applyBorder="1" applyAlignment="1">
      <alignment vertical="center"/>
    </xf>
    <xf numFmtId="0" fontId="0" fillId="8" borderId="30" xfId="0" applyFill="1" applyBorder="1" applyAlignment="1">
      <alignment vertical="center"/>
    </xf>
    <xf numFmtId="0" fontId="0" fillId="8" borderId="131" xfId="0" applyFill="1" applyBorder="1" applyAlignment="1">
      <alignment vertical="center"/>
    </xf>
    <xf numFmtId="0" fontId="0" fillId="8" borderId="37" xfId="0" applyFill="1" applyBorder="1" applyAlignment="1">
      <alignment vertical="center"/>
    </xf>
    <xf numFmtId="0" fontId="26" fillId="5" borderId="67" xfId="0" applyFont="1" applyFill="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0" fillId="10" borderId="4" xfId="0" applyNumberFormat="1" applyFont="1" applyFill="1" applyBorder="1" applyAlignment="1">
      <alignment horizontal="right" vertical="center"/>
    </xf>
    <xf numFmtId="176" fontId="7" fillId="9" borderId="54" xfId="0" applyNumberFormat="1" applyFont="1" applyFill="1" applyBorder="1" applyAlignment="1">
      <alignment vertical="center"/>
    </xf>
    <xf numFmtId="176" fontId="7" fillId="9" borderId="67" xfId="0" applyNumberFormat="1" applyFont="1" applyFill="1" applyBorder="1" applyAlignment="1">
      <alignment vertical="center"/>
    </xf>
    <xf numFmtId="176" fontId="7" fillId="9" borderId="65" xfId="0" applyNumberFormat="1" applyFont="1" applyFill="1" applyBorder="1" applyAlignment="1">
      <alignment vertical="center"/>
    </xf>
    <xf numFmtId="176" fontId="7" fillId="9" borderId="53" xfId="0" applyNumberFormat="1" applyFont="1" applyFill="1" applyBorder="1" applyAlignment="1">
      <alignment vertical="center"/>
    </xf>
    <xf numFmtId="176" fontId="7" fillId="9" borderId="42" xfId="0" applyNumberFormat="1" applyFont="1" applyFill="1" applyBorder="1" applyAlignment="1">
      <alignment vertical="center"/>
    </xf>
    <xf numFmtId="0" fontId="0" fillId="10" borderId="21" xfId="0" applyFont="1" applyFill="1" applyBorder="1" applyAlignment="1">
      <alignment horizontal="center" vertical="center"/>
    </xf>
    <xf numFmtId="0" fontId="0" fillId="10" borderId="30" xfId="0" applyFont="1" applyFill="1" applyBorder="1" applyAlignment="1">
      <alignment horizontal="center" vertical="center"/>
    </xf>
    <xf numFmtId="0" fontId="0" fillId="10" borderId="1"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3" xfId="0" applyFont="1" applyFill="1" applyBorder="1" applyAlignment="1">
      <alignment horizontal="center" vertical="center"/>
    </xf>
    <xf numFmtId="0" fontId="0" fillId="10" borderId="7" xfId="0" applyFill="1" applyBorder="1" applyAlignment="1">
      <alignment horizontal="center" vertical="center"/>
    </xf>
    <xf numFmtId="0" fontId="0" fillId="10" borderId="13" xfId="0" applyFill="1" applyBorder="1" applyAlignment="1">
      <alignment horizontal="center" vertical="center"/>
    </xf>
    <xf numFmtId="0" fontId="0" fillId="10" borderId="18" xfId="0" applyFill="1" applyBorder="1" applyAlignment="1">
      <alignment horizontal="center" vertical="center"/>
    </xf>
    <xf numFmtId="0" fontId="0" fillId="10" borderId="27" xfId="0" applyFill="1" applyBorder="1" applyAlignment="1">
      <alignment horizontal="center" vertical="center"/>
    </xf>
    <xf numFmtId="0" fontId="7" fillId="5" borderId="64" xfId="0" applyFont="1" applyFill="1" applyBorder="1" applyAlignment="1">
      <alignment horizontal="center" vertical="center"/>
    </xf>
    <xf numFmtId="0" fontId="7" fillId="5" borderId="65" xfId="0" applyFont="1" applyFill="1" applyBorder="1" applyAlignment="1">
      <alignment horizontal="center" vertical="center"/>
    </xf>
    <xf numFmtId="0" fontId="0" fillId="10" borderId="16" xfId="0" applyFont="1" applyFill="1" applyBorder="1" applyAlignment="1">
      <alignment horizontal="center" vertical="center"/>
    </xf>
    <xf numFmtId="0" fontId="0" fillId="10" borderId="18" xfId="0" applyFont="1" applyFill="1" applyBorder="1" applyAlignment="1">
      <alignment horizontal="center" vertical="center"/>
    </xf>
    <xf numFmtId="0" fontId="16" fillId="4" borderId="5" xfId="0" applyFont="1" applyFill="1" applyBorder="1" applyAlignment="1">
      <alignment horizontal="center" vertical="center"/>
    </xf>
    <xf numFmtId="176" fontId="7" fillId="9" borderId="18" xfId="0" applyNumberFormat="1" applyFont="1" applyFill="1" applyBorder="1" applyAlignment="1">
      <alignment horizontal="right" vertical="center"/>
    </xf>
    <xf numFmtId="176" fontId="7" fillId="9" borderId="27" xfId="0" applyNumberFormat="1" applyFont="1" applyFill="1" applyBorder="1" applyAlignment="1">
      <alignment horizontal="right" vertical="center"/>
    </xf>
    <xf numFmtId="0" fontId="0" fillId="0" borderId="51" xfId="0" applyBorder="1" applyAlignment="1">
      <alignment horizontal="center" vertical="center" shrinkToFit="1"/>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7" xfId="0" applyBorder="1" applyAlignment="1">
      <alignment vertical="center"/>
    </xf>
    <xf numFmtId="0" fontId="0" fillId="0" borderId="8" xfId="0" applyBorder="1" applyAlignment="1">
      <alignment vertical="center"/>
    </xf>
    <xf numFmtId="0" fontId="8" fillId="0" borderId="107" xfId="0" applyFont="1" applyBorder="1" applyAlignment="1">
      <alignment horizontal="left" vertical="center"/>
    </xf>
    <xf numFmtId="0" fontId="8" fillId="0" borderId="92" xfId="0" applyFont="1" applyBorder="1" applyAlignment="1">
      <alignment horizontal="left" vertical="center"/>
    </xf>
    <xf numFmtId="0" fontId="8" fillId="0" borderId="94" xfId="0" applyFont="1" applyBorder="1" applyAlignment="1">
      <alignment horizontal="left" vertical="center"/>
    </xf>
    <xf numFmtId="0" fontId="0" fillId="0" borderId="62" xfId="0" applyBorder="1" applyAlignment="1">
      <alignment horizontal="center" vertical="center"/>
    </xf>
    <xf numFmtId="0" fontId="0" fillId="0" borderId="79" xfId="0" applyBorder="1" applyAlignment="1">
      <alignment horizontal="center" vertical="center"/>
    </xf>
    <xf numFmtId="0" fontId="8" fillId="0" borderId="129" xfId="0" applyFont="1" applyBorder="1" applyAlignment="1">
      <alignment horizontal="left" vertical="center"/>
    </xf>
    <xf numFmtId="0" fontId="8" fillId="0" borderId="90" xfId="0" applyFont="1" applyBorder="1" applyAlignment="1">
      <alignment horizontal="left" vertical="center"/>
    </xf>
    <xf numFmtId="0" fontId="8" fillId="0" borderId="47" xfId="0" applyFont="1" applyBorder="1" applyAlignment="1">
      <alignment horizontal="left" vertical="center"/>
    </xf>
    <xf numFmtId="0" fontId="8" fillId="0" borderId="108" xfId="0" applyFont="1" applyBorder="1" applyAlignment="1">
      <alignment horizontal="left" vertical="center"/>
    </xf>
    <xf numFmtId="0" fontId="8" fillId="0" borderId="100" xfId="0" applyFont="1" applyBorder="1" applyAlignment="1">
      <alignment horizontal="left" vertical="center"/>
    </xf>
    <xf numFmtId="0" fontId="8" fillId="0" borderId="46" xfId="0" applyFont="1" applyBorder="1" applyAlignment="1">
      <alignment horizontal="left" vertical="center"/>
    </xf>
    <xf numFmtId="0" fontId="0" fillId="0" borderId="108" xfId="0" applyBorder="1" applyAlignment="1">
      <alignment vertical="center"/>
    </xf>
    <xf numFmtId="0" fontId="0" fillId="0" borderId="21" xfId="0"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10" borderId="35" xfId="0" applyFill="1" applyBorder="1" applyAlignment="1">
      <alignment horizontal="center" vertical="center"/>
    </xf>
    <xf numFmtId="0" fontId="0" fillId="10" borderId="36" xfId="0" applyFill="1" applyBorder="1" applyAlignment="1">
      <alignment horizontal="center" vertical="center"/>
    </xf>
    <xf numFmtId="0" fontId="7" fillId="10" borderId="44" xfId="0" applyNumberFormat="1" applyFont="1" applyFill="1" applyBorder="1" applyAlignment="1">
      <alignment horizontal="center" vertical="center"/>
    </xf>
    <xf numFmtId="0" fontId="7" fillId="10" borderId="34" xfId="0" applyNumberFormat="1" applyFont="1" applyFill="1" applyBorder="1" applyAlignment="1">
      <alignment horizontal="center" vertical="center"/>
    </xf>
    <xf numFmtId="0" fontId="0" fillId="8" borderId="20" xfId="0" applyFill="1" applyBorder="1" applyAlignment="1">
      <alignment horizontal="center" vertical="center"/>
    </xf>
    <xf numFmtId="0" fontId="0" fillId="8" borderId="0" xfId="0" applyFill="1" applyBorder="1" applyAlignment="1">
      <alignment horizontal="center" vertical="center"/>
    </xf>
    <xf numFmtId="0" fontId="0" fillId="2" borderId="38" xfId="0" applyFill="1" applyBorder="1" applyAlignment="1">
      <alignment vertical="center"/>
    </xf>
    <xf numFmtId="0" fontId="7" fillId="10" borderId="7" xfId="0" applyNumberFormat="1" applyFont="1" applyFill="1" applyBorder="1" applyAlignment="1">
      <alignment horizontal="center" vertical="center"/>
    </xf>
    <xf numFmtId="0" fontId="7" fillId="10" borderId="8" xfId="0" applyNumberFormat="1" applyFont="1" applyFill="1" applyBorder="1" applyAlignment="1">
      <alignment horizontal="center" vertical="center"/>
    </xf>
    <xf numFmtId="0" fontId="7" fillId="10" borderId="9" xfId="0" applyNumberFormat="1" applyFont="1" applyFill="1" applyBorder="1"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0" fillId="10" borderId="44" xfId="0" applyNumberFormat="1" applyFill="1" applyBorder="1" applyAlignment="1">
      <alignment horizontal="center" vertical="center"/>
    </xf>
    <xf numFmtId="0" fontId="0" fillId="10" borderId="34" xfId="0" applyNumberFormat="1" applyFill="1" applyBorder="1" applyAlignment="1">
      <alignment horizontal="center" vertical="center"/>
    </xf>
    <xf numFmtId="0" fontId="0" fillId="10" borderId="43" xfId="0" applyFill="1" applyBorder="1" applyAlignment="1">
      <alignment horizontal="center" vertical="center"/>
    </xf>
    <xf numFmtId="0" fontId="0" fillId="10" borderId="44" xfId="0" applyFill="1" applyBorder="1" applyAlignment="1">
      <alignment horizontal="center" vertical="center"/>
    </xf>
    <xf numFmtId="0" fontId="0" fillId="4" borderId="1"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3" xfId="0" applyFill="1" applyBorder="1" applyAlignment="1">
      <alignment horizontal="center" vertical="center" shrinkToFit="1"/>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49" xfId="0"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10" borderId="17" xfId="0" applyNumberFormat="1" applyFill="1" applyBorder="1" applyAlignment="1">
      <alignment horizontal="center" vertical="center"/>
    </xf>
    <xf numFmtId="0" fontId="0" fillId="10" borderId="62" xfId="0" applyNumberFormat="1" applyFill="1" applyBorder="1" applyAlignment="1">
      <alignment horizontal="center" vertical="center"/>
    </xf>
    <xf numFmtId="0" fontId="0" fillId="10" borderId="79" xfId="0" applyNumberFormat="1" applyFill="1" applyBorder="1" applyAlignment="1">
      <alignment horizontal="center" vertical="center"/>
    </xf>
    <xf numFmtId="0" fontId="0" fillId="0" borderId="32" xfId="0" applyBorder="1" applyAlignment="1">
      <alignment horizontal="right" vertical="center"/>
    </xf>
    <xf numFmtId="0" fontId="0" fillId="0" borderId="25" xfId="0" applyBorder="1" applyAlignment="1">
      <alignment horizontal="right" vertical="center"/>
    </xf>
    <xf numFmtId="0" fontId="26" fillId="5" borderId="64" xfId="0" applyFont="1" applyFill="1" applyBorder="1" applyAlignment="1">
      <alignment horizontal="center" vertical="center"/>
    </xf>
    <xf numFmtId="0" fontId="26" fillId="5" borderId="65" xfId="0" applyFont="1" applyFill="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61" xfId="0" applyBorder="1" applyAlignment="1">
      <alignment vertical="center"/>
    </xf>
    <xf numFmtId="0" fontId="8" fillId="8" borderId="32" xfId="0" applyFont="1" applyFill="1" applyBorder="1" applyAlignment="1">
      <alignment vertical="center"/>
    </xf>
    <xf numFmtId="0" fontId="8" fillId="8" borderId="49" xfId="0" applyFont="1" applyFill="1" applyBorder="1" applyAlignment="1">
      <alignment vertical="center"/>
    </xf>
    <xf numFmtId="0" fontId="8" fillId="8" borderId="50" xfId="0" applyFont="1" applyFill="1" applyBorder="1" applyAlignment="1">
      <alignment vertical="center"/>
    </xf>
    <xf numFmtId="176" fontId="7" fillId="9" borderId="32" xfId="0" applyNumberFormat="1" applyFont="1" applyFill="1" applyBorder="1" applyAlignment="1">
      <alignment horizontal="right" vertical="center"/>
    </xf>
    <xf numFmtId="176" fontId="7" fillId="9" borderId="49" xfId="0" applyNumberFormat="1" applyFont="1" applyFill="1" applyBorder="1" applyAlignment="1">
      <alignment horizontal="right" vertical="center"/>
    </xf>
    <xf numFmtId="176" fontId="7" fillId="9" borderId="51" xfId="0" applyNumberFormat="1" applyFont="1" applyFill="1" applyBorder="1" applyAlignment="1">
      <alignment horizontal="right" vertical="center"/>
    </xf>
    <xf numFmtId="176" fontId="7" fillId="9" borderId="62" xfId="0" applyNumberFormat="1" applyFont="1" applyFill="1" applyBorder="1" applyAlignment="1">
      <alignment horizontal="right" vertical="center"/>
    </xf>
    <xf numFmtId="176" fontId="7" fillId="9" borderId="79" xfId="0" applyNumberFormat="1" applyFont="1" applyFill="1" applyBorder="1" applyAlignment="1">
      <alignment horizontal="right"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0" fillId="0" borderId="10" xfId="0" applyBorder="1" applyAlignment="1">
      <alignment horizontal="center" vertical="center"/>
    </xf>
    <xf numFmtId="0" fontId="0" fillId="10" borderId="16" xfId="0" applyFill="1" applyBorder="1" applyAlignment="1">
      <alignment horizontal="center" vertical="center"/>
    </xf>
    <xf numFmtId="176" fontId="7" fillId="9" borderId="51" xfId="0" applyNumberFormat="1" applyFont="1" applyFill="1" applyBorder="1" applyAlignment="1">
      <alignment vertical="center"/>
    </xf>
    <xf numFmtId="176" fontId="7" fillId="9" borderId="62" xfId="0" applyNumberFormat="1" applyFont="1" applyFill="1" applyBorder="1" applyAlignment="1">
      <alignment vertical="center"/>
    </xf>
    <xf numFmtId="0" fontId="0" fillId="10" borderId="51" xfId="0" applyNumberFormat="1" applyFill="1" applyBorder="1" applyAlignment="1">
      <alignment horizontal="center" vertical="center"/>
    </xf>
    <xf numFmtId="0" fontId="0" fillId="10" borderId="64" xfId="0" applyFill="1" applyBorder="1" applyAlignment="1">
      <alignment horizontal="center" vertical="center" wrapText="1"/>
    </xf>
    <xf numFmtId="0" fontId="0" fillId="10" borderId="67" xfId="0" applyFill="1" applyBorder="1" applyAlignment="1">
      <alignment horizontal="center" vertical="center" wrapText="1"/>
    </xf>
    <xf numFmtId="0" fontId="0" fillId="10" borderId="135"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62" xfId="0" applyFill="1" applyBorder="1" applyAlignment="1">
      <alignment horizontal="center" vertical="center" wrapText="1"/>
    </xf>
    <xf numFmtId="0" fontId="7" fillId="10" borderId="51" xfId="0" applyNumberFormat="1" applyFont="1" applyFill="1" applyBorder="1" applyAlignment="1">
      <alignment horizontal="center" vertical="center"/>
    </xf>
    <xf numFmtId="0" fontId="7" fillId="10" borderId="79"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67" xfId="0" applyFill="1" applyBorder="1" applyAlignment="1">
      <alignment horizontal="center" vertical="center"/>
    </xf>
    <xf numFmtId="0" fontId="0" fillId="0" borderId="65" xfId="0" applyFill="1" applyBorder="1" applyAlignment="1">
      <alignment horizontal="center" vertical="center"/>
    </xf>
    <xf numFmtId="0" fontId="0" fillId="0" borderId="25" xfId="0" applyBorder="1" applyAlignment="1">
      <alignment horizontal="center" vertical="center"/>
    </xf>
    <xf numFmtId="0" fontId="0" fillId="0" borderId="129" xfId="0" applyBorder="1" applyAlignment="1">
      <alignment vertical="center"/>
    </xf>
    <xf numFmtId="0" fontId="0" fillId="0" borderId="30" xfId="0" applyBorder="1" applyAlignment="1">
      <alignment vertical="center"/>
    </xf>
    <xf numFmtId="0" fontId="0" fillId="0" borderId="107" xfId="0" applyBorder="1" applyAlignment="1">
      <alignment vertical="center"/>
    </xf>
    <xf numFmtId="0" fontId="0" fillId="0" borderId="6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0" borderId="61" xfId="0" applyFill="1" applyBorder="1" applyAlignment="1">
      <alignment horizontal="center" vertical="center"/>
    </xf>
    <xf numFmtId="0" fontId="0" fillId="0" borderId="52" xfId="0" applyFill="1" applyBorder="1" applyAlignment="1">
      <alignment horizontal="center" vertical="center"/>
    </xf>
    <xf numFmtId="0" fontId="0" fillId="0" borderId="60"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10" borderId="129" xfId="0" applyNumberFormat="1" applyFont="1" applyFill="1" applyBorder="1" applyAlignment="1">
      <alignment horizontal="center" vertical="center"/>
    </xf>
    <xf numFmtId="0" fontId="7" fillId="10" borderId="90" xfId="0" applyNumberFormat="1" applyFont="1" applyFill="1" applyBorder="1" applyAlignment="1">
      <alignment horizontal="center" vertical="center"/>
    </xf>
    <xf numFmtId="0" fontId="7" fillId="10" borderId="47"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35" xfId="0" applyNumberFormat="1" applyFill="1" applyBorder="1" applyAlignment="1">
      <alignment horizontal="center" vertical="center"/>
    </xf>
    <xf numFmtId="178" fontId="0" fillId="0" borderId="36" xfId="0" applyNumberFormat="1" applyFill="1" applyBorder="1" applyAlignment="1">
      <alignment horizontal="center" vertical="center"/>
    </xf>
    <xf numFmtId="0" fontId="0" fillId="8" borderId="64" xfId="0" applyFill="1" applyBorder="1" applyAlignment="1">
      <alignment horizontal="center" vertical="center"/>
    </xf>
    <xf numFmtId="0" fontId="0" fillId="8" borderId="67" xfId="0" applyFill="1" applyBorder="1" applyAlignment="1">
      <alignment horizontal="center" vertical="center"/>
    </xf>
    <xf numFmtId="0" fontId="0" fillId="8" borderId="65" xfId="0" applyFill="1" applyBorder="1" applyAlignment="1">
      <alignment horizontal="center" vertical="center"/>
    </xf>
    <xf numFmtId="0" fontId="0" fillId="0" borderId="64" xfId="0" applyBorder="1" applyAlignment="1">
      <alignment horizontal="center" vertical="center" shrinkToFit="1"/>
    </xf>
    <xf numFmtId="0" fontId="0" fillId="0" borderId="135" xfId="0" applyBorder="1" applyAlignment="1">
      <alignment horizontal="center" vertical="center" shrinkToFit="1"/>
    </xf>
    <xf numFmtId="0" fontId="0" fillId="0" borderId="20" xfId="0" applyBorder="1" applyAlignment="1">
      <alignment horizontal="center" vertical="center" shrinkToFit="1"/>
    </xf>
    <xf numFmtId="0" fontId="0" fillId="0" borderId="104" xfId="0" applyBorder="1" applyAlignment="1">
      <alignment horizontal="center" vertical="center" shrinkToFit="1"/>
    </xf>
    <xf numFmtId="0" fontId="0" fillId="0" borderId="32" xfId="0" applyBorder="1" applyAlignment="1">
      <alignment horizontal="center" vertical="center" shrinkToFit="1"/>
    </xf>
    <xf numFmtId="0" fontId="0" fillId="0" borderId="25" xfId="0" applyBorder="1" applyAlignment="1">
      <alignment horizontal="center" vertical="center" shrinkToFit="1"/>
    </xf>
    <xf numFmtId="176" fontId="7" fillId="9" borderId="79" xfId="0" applyNumberFormat="1" applyFont="1" applyFill="1" applyBorder="1" applyAlignment="1">
      <alignment vertical="center"/>
    </xf>
    <xf numFmtId="0" fontId="8" fillId="0" borderId="13" xfId="0" applyFont="1" applyBorder="1" applyAlignment="1">
      <alignment vertical="center"/>
    </xf>
    <xf numFmtId="0" fontId="8" fillId="0" borderId="66"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30" xfId="0" applyFont="1" applyBorder="1" applyAlignment="1">
      <alignment vertical="center"/>
    </xf>
    <xf numFmtId="0" fontId="0" fillId="10" borderId="36" xfId="0" applyNumberFormat="1" applyFill="1" applyBorder="1" applyAlignment="1">
      <alignment horizontal="center" vertical="center"/>
    </xf>
    <xf numFmtId="0" fontId="0" fillId="10" borderId="26" xfId="0" applyNumberFormat="1" applyFill="1" applyBorder="1" applyAlignment="1">
      <alignment horizontal="center" vertical="center"/>
    </xf>
    <xf numFmtId="0" fontId="0" fillId="0" borderId="50" xfId="0" applyBorder="1" applyAlignment="1">
      <alignment horizontal="center" vertical="center"/>
    </xf>
    <xf numFmtId="0" fontId="0" fillId="2" borderId="40" xfId="0" applyFill="1" applyBorder="1" applyAlignment="1">
      <alignment vertical="center"/>
    </xf>
    <xf numFmtId="0" fontId="0" fillId="2" borderId="34" xfId="0" applyFill="1" applyBorder="1" applyAlignment="1">
      <alignment vertical="center"/>
    </xf>
    <xf numFmtId="0" fontId="7" fillId="5" borderId="1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lignment horizontal="center" vertical="center"/>
    </xf>
    <xf numFmtId="0" fontId="16" fillId="0" borderId="108" xfId="0" applyFont="1" applyBorder="1" applyAlignment="1">
      <alignment horizontal="center" vertical="center"/>
    </xf>
    <xf numFmtId="0" fontId="16" fillId="0" borderId="46" xfId="0" applyFont="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0" borderId="129" xfId="0" applyFont="1" applyBorder="1" applyAlignment="1">
      <alignment vertical="center"/>
    </xf>
    <xf numFmtId="0" fontId="8" fillId="0" borderId="90" xfId="0" applyFont="1" applyBorder="1" applyAlignment="1">
      <alignment vertical="center"/>
    </xf>
    <xf numFmtId="0" fontId="8" fillId="0" borderId="47" xfId="0" applyFont="1" applyBorder="1" applyAlignment="1">
      <alignment vertical="center"/>
    </xf>
    <xf numFmtId="0" fontId="0" fillId="10" borderId="4" xfId="0" applyFill="1" applyBorder="1" applyAlignment="1">
      <alignment horizontal="right" vertical="center"/>
    </xf>
    <xf numFmtId="0" fontId="0" fillId="10" borderId="9" xfId="0" applyFill="1" applyBorder="1" applyAlignment="1">
      <alignment horizontal="right" vertical="center"/>
    </xf>
    <xf numFmtId="0" fontId="0" fillId="10" borderId="15" xfId="0" applyFill="1" applyBorder="1" applyAlignment="1">
      <alignment horizontal="right" vertical="center"/>
    </xf>
    <xf numFmtId="0" fontId="0" fillId="10" borderId="4" xfId="0" applyFill="1" applyBorder="1" applyAlignment="1">
      <alignment vertical="center"/>
    </xf>
    <xf numFmtId="0" fontId="0" fillId="10" borderId="9" xfId="0" applyFill="1" applyBorder="1" applyAlignment="1">
      <alignment vertical="center"/>
    </xf>
    <xf numFmtId="178" fontId="0" fillId="10" borderId="4" xfId="0" applyNumberFormat="1" applyFont="1" applyFill="1" applyBorder="1" applyAlignment="1">
      <alignment vertical="center"/>
    </xf>
    <xf numFmtId="0" fontId="0" fillId="10" borderId="9" xfId="0" applyFont="1" applyFill="1" applyBorder="1" applyAlignment="1">
      <alignment vertical="center"/>
    </xf>
    <xf numFmtId="0" fontId="0" fillId="10" borderId="15" xfId="0" applyFont="1" applyFill="1" applyBorder="1" applyAlignment="1">
      <alignment vertical="center"/>
    </xf>
    <xf numFmtId="0" fontId="16" fillId="10" borderId="21" xfId="0" applyFont="1" applyFill="1" applyBorder="1" applyAlignment="1">
      <alignment horizontal="center" vertical="center"/>
    </xf>
    <xf numFmtId="0" fontId="16" fillId="10" borderId="30" xfId="0" applyFont="1" applyFill="1" applyBorder="1" applyAlignment="1">
      <alignment horizontal="center" vertical="center"/>
    </xf>
    <xf numFmtId="0" fontId="16" fillId="10" borderId="66"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48"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49" xfId="0" applyFont="1" applyFill="1" applyBorder="1" applyAlignment="1">
      <alignment horizontal="center" vertical="center"/>
    </xf>
    <xf numFmtId="0" fontId="0" fillId="8" borderId="50"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3" xfId="0" applyFont="1" applyFill="1" applyBorder="1" applyAlignment="1">
      <alignment horizontal="center" vertical="center"/>
    </xf>
    <xf numFmtId="0" fontId="16" fillId="10" borderId="64"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32" xfId="0" applyFont="1" applyFill="1" applyBorder="1" applyAlignment="1">
      <alignment horizontal="center" vertical="center"/>
    </xf>
    <xf numFmtId="0" fontId="16" fillId="10" borderId="1"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13" xfId="0" applyFont="1" applyFill="1" applyBorder="1" applyAlignment="1">
      <alignment horizontal="center" vertical="center"/>
    </xf>
    <xf numFmtId="0" fontId="0" fillId="6" borderId="9" xfId="0" applyFill="1" applyBorder="1" applyAlignment="1">
      <alignment vertical="center"/>
    </xf>
    <xf numFmtId="0" fontId="0" fillId="7" borderId="13" xfId="0" applyFill="1" applyBorder="1" applyAlignment="1">
      <alignment vertical="center"/>
    </xf>
    <xf numFmtId="0" fontId="0" fillId="7" borderId="15" xfId="0" applyFill="1" applyBorder="1" applyAlignment="1">
      <alignment vertical="center"/>
    </xf>
    <xf numFmtId="0" fontId="0" fillId="7" borderId="52" xfId="0" applyFill="1" applyBorder="1" applyAlignment="1">
      <alignment horizontal="center" vertical="center" wrapText="1" shrinkToFit="1"/>
    </xf>
    <xf numFmtId="0" fontId="0" fillId="7" borderId="43" xfId="0" applyFill="1" applyBorder="1" applyAlignment="1">
      <alignment horizontal="center" vertical="center" wrapText="1" shrinkToFit="1"/>
    </xf>
    <xf numFmtId="0" fontId="0" fillId="7" borderId="35" xfId="0" applyFill="1" applyBorder="1" applyAlignment="1">
      <alignment horizontal="center" vertical="center" wrapText="1" shrinkToFit="1"/>
    </xf>
    <xf numFmtId="0" fontId="0" fillId="7" borderId="131" xfId="0" applyFill="1" applyBorder="1" applyAlignment="1">
      <alignment horizontal="left" vertical="center"/>
    </xf>
    <xf numFmtId="0" fontId="0" fillId="7" borderId="45" xfId="0" applyFill="1" applyBorder="1" applyAlignment="1">
      <alignment horizontal="left" vertical="center"/>
    </xf>
    <xf numFmtId="0" fontId="0" fillId="4" borderId="7" xfId="0" applyFill="1" applyBorder="1" applyAlignment="1">
      <alignment vertical="center"/>
    </xf>
    <xf numFmtId="0" fontId="0" fillId="4" borderId="9" xfId="0" applyFill="1" applyBorder="1" applyAlignment="1">
      <alignment vertical="center"/>
    </xf>
    <xf numFmtId="0" fontId="7" fillId="8" borderId="51" xfId="0" applyFont="1" applyFill="1" applyBorder="1" applyAlignment="1">
      <alignment horizontal="center" vertical="center"/>
    </xf>
    <xf numFmtId="0" fontId="7" fillId="8" borderId="62" xfId="0" applyFont="1" applyFill="1" applyBorder="1" applyAlignment="1">
      <alignment horizontal="center" vertical="center"/>
    </xf>
    <xf numFmtId="0" fontId="0" fillId="7" borderId="132" xfId="0" applyFill="1" applyBorder="1" applyAlignment="1">
      <alignment horizontal="center" vertical="center" wrapText="1"/>
    </xf>
    <xf numFmtId="0" fontId="0" fillId="7" borderId="63" xfId="0" applyFill="1" applyBorder="1" applyAlignment="1">
      <alignment horizontal="center" vertical="center" wrapText="1"/>
    </xf>
    <xf numFmtId="0" fontId="7" fillId="8" borderId="67" xfId="0" applyFont="1" applyFill="1" applyBorder="1" applyAlignment="1">
      <alignment horizontal="center" vertical="center"/>
    </xf>
    <xf numFmtId="0" fontId="0" fillId="3" borderId="1" xfId="0" applyFill="1" applyBorder="1" applyAlignment="1">
      <alignment vertical="center"/>
    </xf>
    <xf numFmtId="0" fontId="0" fillId="3" borderId="4" xfId="0" applyFill="1" applyBorder="1" applyAlignment="1">
      <alignment vertical="center"/>
    </xf>
    <xf numFmtId="0" fontId="8" fillId="8" borderId="20" xfId="0" applyFont="1" applyFill="1" applyBorder="1" applyAlignment="1">
      <alignment horizontal="left" vertical="center"/>
    </xf>
    <xf numFmtId="0" fontId="8" fillId="8" borderId="0" xfId="0" applyFont="1" applyFill="1" applyBorder="1" applyAlignment="1">
      <alignment horizontal="left" vertical="center"/>
    </xf>
    <xf numFmtId="0" fontId="8" fillId="8" borderId="48" xfId="0" applyFont="1" applyFill="1" applyBorder="1" applyAlignment="1">
      <alignment horizontal="lef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7" fillId="5" borderId="52" xfId="0" applyFont="1" applyFill="1" applyBorder="1" applyAlignment="1">
      <alignment horizontal="center" vertical="center"/>
    </xf>
    <xf numFmtId="0" fontId="7" fillId="5" borderId="40" xfId="0" applyFont="1" applyFill="1" applyBorder="1" applyAlignment="1">
      <alignment horizontal="center" vertical="center"/>
    </xf>
    <xf numFmtId="0" fontId="0" fillId="6" borderId="129" xfId="0" applyFill="1" applyBorder="1" applyAlignment="1">
      <alignment horizontal="left" vertical="center"/>
    </xf>
    <xf numFmtId="0" fontId="0" fillId="6" borderId="47" xfId="0" applyFill="1" applyBorder="1" applyAlignment="1">
      <alignment horizontal="left" vertical="center"/>
    </xf>
    <xf numFmtId="0" fontId="12" fillId="5" borderId="51" xfId="0" applyFont="1" applyFill="1" applyBorder="1" applyAlignment="1">
      <alignment horizontal="center" vertical="center"/>
    </xf>
    <xf numFmtId="0" fontId="13" fillId="5" borderId="62" xfId="0" applyFont="1" applyFill="1" applyBorder="1" applyAlignment="1">
      <alignment horizontal="center" vertical="center"/>
    </xf>
    <xf numFmtId="0" fontId="13" fillId="5" borderId="79" xfId="0" applyFont="1" applyFill="1" applyBorder="1" applyAlignment="1">
      <alignment horizontal="center" vertical="center"/>
    </xf>
    <xf numFmtId="0" fontId="0" fillId="3" borderId="108" xfId="0" applyFill="1" applyBorder="1" applyAlignment="1">
      <alignment horizontal="left" vertical="center"/>
    </xf>
    <xf numFmtId="0" fontId="0" fillId="3" borderId="46" xfId="0" applyFill="1" applyBorder="1" applyAlignment="1">
      <alignment horizontal="left" vertical="center"/>
    </xf>
    <xf numFmtId="0" fontId="0" fillId="4" borderId="129" xfId="0" applyFill="1" applyBorder="1" applyAlignment="1">
      <alignment horizontal="left" vertical="center"/>
    </xf>
    <xf numFmtId="0" fontId="0" fillId="4" borderId="47" xfId="0" applyFill="1" applyBorder="1" applyAlignment="1">
      <alignment horizontal="left" vertical="center"/>
    </xf>
    <xf numFmtId="0" fontId="7" fillId="0" borderId="79" xfId="0" applyFont="1" applyBorder="1" applyAlignment="1">
      <alignment horizontal="center" vertical="center"/>
    </xf>
    <xf numFmtId="0" fontId="0" fillId="0" borderId="108" xfId="0" applyFont="1" applyBorder="1" applyAlignment="1">
      <alignment horizontal="center" vertical="center"/>
    </xf>
    <xf numFmtId="0" fontId="0" fillId="0" borderId="46" xfId="0" applyFont="1" applyBorder="1" applyAlignment="1">
      <alignment horizontal="center" vertical="center"/>
    </xf>
    <xf numFmtId="0" fontId="8" fillId="8" borderId="129" xfId="0" applyFont="1" applyFill="1" applyBorder="1" applyAlignment="1">
      <alignment vertical="center"/>
    </xf>
    <xf numFmtId="0" fontId="8" fillId="8" borderId="90" xfId="0" applyFont="1" applyFill="1" applyBorder="1" applyAlignment="1">
      <alignment vertical="center"/>
    </xf>
    <xf numFmtId="0" fontId="8" fillId="8" borderId="47" xfId="0" applyFont="1" applyFill="1" applyBorder="1" applyAlignment="1">
      <alignment vertical="center"/>
    </xf>
    <xf numFmtId="178" fontId="0" fillId="10" borderId="36" xfId="0" applyNumberFormat="1" applyFill="1" applyBorder="1" applyAlignment="1">
      <alignment horizontal="center" vertical="center"/>
    </xf>
    <xf numFmtId="178" fontId="0" fillId="10" borderId="26" xfId="0" applyNumberFormat="1" applyFill="1" applyBorder="1" applyAlignment="1">
      <alignment horizontal="center" vertical="center"/>
    </xf>
    <xf numFmtId="0" fontId="0" fillId="0" borderId="17" xfId="0" applyBorder="1" applyAlignment="1">
      <alignment horizontal="center" vertical="center"/>
    </xf>
    <xf numFmtId="0" fontId="8" fillId="0" borderId="52" xfId="0" applyFont="1" applyBorder="1" applyAlignment="1">
      <alignment horizontal="left" vertical="center"/>
    </xf>
    <xf numFmtId="0" fontId="8" fillId="0" borderId="60" xfId="0" applyFont="1" applyBorder="1" applyAlignment="1">
      <alignment horizontal="left" vertical="center"/>
    </xf>
    <xf numFmtId="0" fontId="8" fillId="0" borderId="40" xfId="0" applyFont="1" applyBorder="1" applyAlignment="1">
      <alignment horizontal="left" vertical="center"/>
    </xf>
    <xf numFmtId="0" fontId="0" fillId="10" borderId="18" xfId="0" applyNumberFormat="1" applyFill="1" applyBorder="1" applyAlignment="1">
      <alignment horizontal="center" vertical="center"/>
    </xf>
    <xf numFmtId="0" fontId="0" fillId="10" borderId="27" xfId="0" applyNumberFormat="1" applyFill="1" applyBorder="1" applyAlignment="1">
      <alignment horizontal="center" vertical="center"/>
    </xf>
    <xf numFmtId="0" fontId="8" fillId="10" borderId="51" xfId="0" applyFont="1" applyFill="1" applyBorder="1" applyAlignment="1">
      <alignment horizontal="center" vertical="center"/>
    </xf>
    <xf numFmtId="0" fontId="8" fillId="10" borderId="62" xfId="0" applyFont="1" applyFill="1" applyBorder="1" applyAlignment="1">
      <alignment horizontal="center" vertical="center"/>
    </xf>
    <xf numFmtId="0" fontId="8" fillId="10" borderId="61" xfId="0" applyFont="1" applyFill="1" applyBorder="1" applyAlignment="1">
      <alignment horizontal="center" vertical="center"/>
    </xf>
    <xf numFmtId="176" fontId="7" fillId="9" borderId="18" xfId="0" applyNumberFormat="1" applyFont="1" applyFill="1" applyBorder="1" applyAlignment="1">
      <alignment vertical="center"/>
    </xf>
    <xf numFmtId="176" fontId="7" fillId="9" borderId="27" xfId="0" applyNumberFormat="1" applyFont="1" applyFill="1" applyBorder="1" applyAlignment="1">
      <alignment vertical="center"/>
    </xf>
    <xf numFmtId="0" fontId="0" fillId="10" borderId="12" xfId="0" applyFill="1" applyBorder="1" applyAlignment="1">
      <alignment horizontal="right" vertical="center"/>
    </xf>
    <xf numFmtId="0" fontId="0" fillId="10" borderId="20" xfId="0" applyFill="1" applyBorder="1" applyAlignment="1">
      <alignment horizontal="center" vertical="center"/>
    </xf>
    <xf numFmtId="0" fontId="16" fillId="4" borderId="10" xfId="0" applyFont="1" applyFill="1" applyBorder="1" applyAlignment="1">
      <alignment horizontal="center" vertical="center"/>
    </xf>
    <xf numFmtId="0" fontId="6" fillId="6" borderId="13" xfId="0" applyFont="1" applyFill="1" applyBorder="1" applyAlignment="1">
      <alignment vertical="center"/>
    </xf>
    <xf numFmtId="0" fontId="6" fillId="6" borderId="14" xfId="0" applyFont="1" applyFill="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0" fillId="2" borderId="89" xfId="0" applyFont="1" applyFill="1" applyBorder="1" applyAlignment="1" applyProtection="1">
      <alignment vertical="center"/>
      <protection locked="0"/>
    </xf>
    <xf numFmtId="0" fontId="0" fillId="2" borderId="45" xfId="0" applyFont="1" applyFill="1" applyBorder="1" applyAlignment="1" applyProtection="1">
      <alignment vertical="center"/>
      <protection locked="0"/>
    </xf>
    <xf numFmtId="0" fontId="0" fillId="8" borderId="49" xfId="0" applyFill="1" applyBorder="1" applyAlignment="1">
      <alignment horizontal="center" vertical="center"/>
    </xf>
    <xf numFmtId="0" fontId="0" fillId="8" borderId="79" xfId="0" applyFill="1" applyBorder="1" applyAlignment="1">
      <alignment horizontal="center" vertical="center"/>
    </xf>
    <xf numFmtId="0" fontId="16" fillId="10" borderId="37" xfId="0" applyFont="1" applyFill="1" applyBorder="1" applyAlignment="1">
      <alignment horizontal="center" vertical="center"/>
    </xf>
    <xf numFmtId="0" fontId="0" fillId="10" borderId="38" xfId="0" applyFill="1" applyBorder="1" applyAlignment="1">
      <alignment horizontal="right" vertical="center"/>
    </xf>
    <xf numFmtId="178" fontId="0" fillId="0" borderId="64" xfId="0" applyNumberFormat="1" applyFill="1" applyBorder="1" applyAlignment="1">
      <alignment horizontal="right" vertical="center"/>
    </xf>
    <xf numFmtId="178" fontId="0" fillId="0" borderId="135" xfId="0" applyNumberFormat="1" applyFill="1" applyBorder="1" applyAlignment="1">
      <alignment horizontal="right" vertical="center"/>
    </xf>
    <xf numFmtId="178" fontId="0" fillId="0" borderId="104" xfId="0" applyNumberFormat="1" applyFill="1" applyBorder="1" applyAlignment="1">
      <alignment horizontal="right" vertical="center"/>
    </xf>
    <xf numFmtId="0" fontId="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66" xfId="0" applyFont="1" applyFill="1" applyBorder="1" applyAlignment="1">
      <alignment horizontal="center" vertical="center"/>
    </xf>
    <xf numFmtId="0" fontId="8" fillId="0" borderId="51" xfId="0" applyFont="1" applyBorder="1" applyAlignment="1">
      <alignment vertical="center"/>
    </xf>
    <xf numFmtId="0" fontId="8" fillId="0" borderId="62" xfId="0" applyFont="1" applyBorder="1" applyAlignment="1">
      <alignment vertical="center"/>
    </xf>
    <xf numFmtId="0" fontId="8" fillId="0" borderId="79" xfId="0" applyFont="1" applyBorder="1" applyAlignment="1">
      <alignment vertical="center"/>
    </xf>
    <xf numFmtId="0" fontId="7" fillId="0" borderId="51" xfId="0" applyFont="1" applyBorder="1" applyAlignment="1">
      <alignment vertical="center"/>
    </xf>
    <xf numFmtId="0" fontId="7" fillId="0" borderId="62" xfId="0" applyFont="1" applyBorder="1" applyAlignment="1">
      <alignment vertical="center"/>
    </xf>
    <xf numFmtId="0" fontId="7" fillId="0" borderId="79" xfId="0" applyFont="1" applyBorder="1" applyAlignment="1">
      <alignment vertical="center"/>
    </xf>
    <xf numFmtId="0" fontId="7" fillId="0" borderId="51" xfId="0" applyFont="1" applyBorder="1" applyAlignment="1">
      <alignment horizontal="center" vertical="center"/>
    </xf>
    <xf numFmtId="0" fontId="7" fillId="0" borderId="62" xfId="0" applyFont="1" applyBorder="1" applyAlignment="1">
      <alignment horizontal="center" vertical="center"/>
    </xf>
    <xf numFmtId="185" fontId="7" fillId="9" borderId="51" xfId="0" applyNumberFormat="1" applyFont="1" applyFill="1" applyBorder="1" applyAlignment="1">
      <alignment horizontal="right" vertical="center"/>
    </xf>
    <xf numFmtId="185" fontId="7" fillId="9" borderId="62" xfId="0" applyNumberFormat="1" applyFont="1" applyFill="1" applyBorder="1" applyAlignment="1">
      <alignment horizontal="right" vertical="center"/>
    </xf>
    <xf numFmtId="185" fontId="7" fillId="9" borderId="79" xfId="0" applyNumberFormat="1" applyFont="1" applyFill="1" applyBorder="1" applyAlignment="1">
      <alignment horizontal="right" vertical="center"/>
    </xf>
    <xf numFmtId="176" fontId="7" fillId="9" borderId="32" xfId="0" applyNumberFormat="1" applyFont="1" applyFill="1" applyBorder="1" applyAlignment="1">
      <alignment vertical="center"/>
    </xf>
    <xf numFmtId="0" fontId="0" fillId="0" borderId="64" xfId="0" applyFont="1" applyBorder="1" applyAlignment="1">
      <alignment horizontal="right" vertical="center"/>
    </xf>
    <xf numFmtId="0" fontId="0" fillId="0" borderId="135" xfId="0" applyFont="1" applyBorder="1" applyAlignment="1">
      <alignment horizontal="right" vertical="center"/>
    </xf>
    <xf numFmtId="176" fontId="7" fillId="9" borderId="17" xfId="0" applyNumberFormat="1" applyFont="1" applyFill="1" applyBorder="1" applyAlignment="1">
      <alignment horizontal="right" vertical="center"/>
    </xf>
    <xf numFmtId="9" fontId="7" fillId="0" borderId="64" xfId="0" applyNumberFormat="1" applyFont="1" applyBorder="1" applyAlignment="1">
      <alignment horizontal="center" vertical="center"/>
    </xf>
    <xf numFmtId="9" fontId="7" fillId="0" borderId="65" xfId="0" applyNumberFormat="1" applyFont="1" applyBorder="1" applyAlignment="1">
      <alignment horizontal="center" vertical="center"/>
    </xf>
    <xf numFmtId="9" fontId="7" fillId="0" borderId="32" xfId="0" applyNumberFormat="1" applyFont="1" applyBorder="1" applyAlignment="1">
      <alignment horizontal="center" vertical="center"/>
    </xf>
    <xf numFmtId="9" fontId="7" fillId="0" borderId="50" xfId="0" applyNumberFormat="1"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178" fontId="0" fillId="8" borderId="11" xfId="0" applyNumberFormat="1" applyFill="1" applyBorder="1" applyAlignment="1">
      <alignment horizontal="center" vertical="center"/>
    </xf>
    <xf numFmtId="178" fontId="0" fillId="8" borderId="44" xfId="0" applyNumberFormat="1" applyFill="1" applyBorder="1" applyAlignment="1">
      <alignment horizontal="center" vertical="center"/>
    </xf>
    <xf numFmtId="176" fontId="7" fillId="9" borderId="21" xfId="0" applyNumberFormat="1" applyFont="1" applyFill="1" applyBorder="1" applyAlignment="1">
      <alignment vertical="center"/>
    </xf>
    <xf numFmtId="176" fontId="7" fillId="9" borderId="3" xfId="0" applyNumberFormat="1" applyFont="1" applyFill="1" applyBorder="1" applyAlignment="1">
      <alignment vertical="center"/>
    </xf>
    <xf numFmtId="176" fontId="7" fillId="9" borderId="4" xfId="0" applyNumberFormat="1" applyFont="1" applyFill="1" applyBorder="1" applyAlignment="1">
      <alignment vertical="center"/>
    </xf>
    <xf numFmtId="176" fontId="7" fillId="9" borderId="30" xfId="0" applyNumberFormat="1" applyFont="1" applyFill="1" applyBorder="1" applyAlignment="1">
      <alignment vertical="center"/>
    </xf>
    <xf numFmtId="176" fontId="7" fillId="9" borderId="8" xfId="0" applyNumberFormat="1" applyFont="1" applyFill="1" applyBorder="1" applyAlignment="1">
      <alignment vertical="center"/>
    </xf>
    <xf numFmtId="176" fontId="7" fillId="9" borderId="9" xfId="0" applyNumberFormat="1" applyFont="1" applyFill="1" applyBorder="1" applyAlignment="1">
      <alignment vertical="center"/>
    </xf>
    <xf numFmtId="176" fontId="7" fillId="9" borderId="66" xfId="0" applyNumberFormat="1" applyFont="1" applyFill="1" applyBorder="1" applyAlignment="1">
      <alignment vertical="center"/>
    </xf>
    <xf numFmtId="176" fontId="7" fillId="9" borderId="14" xfId="0" applyNumberFormat="1" applyFont="1" applyFill="1" applyBorder="1" applyAlignment="1">
      <alignment vertical="center"/>
    </xf>
    <xf numFmtId="176" fontId="7" fillId="9" borderId="15" xfId="0" applyNumberFormat="1" applyFont="1" applyFill="1" applyBorder="1" applyAlignment="1">
      <alignment vertical="center"/>
    </xf>
    <xf numFmtId="0" fontId="0" fillId="0" borderId="79" xfId="0" applyFont="1" applyBorder="1" applyAlignment="1">
      <alignment horizontal="right" vertical="center"/>
    </xf>
    <xf numFmtId="0" fontId="0" fillId="8" borderId="107" xfId="0" applyFill="1" applyBorder="1" applyAlignment="1">
      <alignment vertical="center"/>
    </xf>
    <xf numFmtId="0" fontId="0" fillId="8" borderId="66" xfId="0" applyFill="1" applyBorder="1" applyAlignment="1">
      <alignment vertical="center"/>
    </xf>
    <xf numFmtId="0" fontId="0" fillId="0" borderId="60" xfId="0" applyBorder="1" applyAlignment="1">
      <alignment horizontal="center" vertical="center"/>
    </xf>
    <xf numFmtId="176" fontId="7" fillId="9" borderId="20" xfId="0" applyNumberFormat="1" applyFont="1" applyFill="1" applyBorder="1" applyAlignment="1">
      <alignment vertical="center"/>
    </xf>
    <xf numFmtId="176" fontId="7" fillId="9" borderId="64" xfId="0" applyNumberFormat="1" applyFont="1" applyFill="1" applyBorder="1" applyAlignment="1">
      <alignmen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54" xfId="0" applyFont="1" applyBorder="1" applyAlignment="1">
      <alignment horizontal="center" vertical="center"/>
    </xf>
    <xf numFmtId="0" fontId="7" fillId="0" borderId="67" xfId="0" applyFont="1" applyBorder="1" applyAlignment="1">
      <alignment horizontal="center" vertical="center"/>
    </xf>
    <xf numFmtId="0" fontId="7" fillId="0" borderId="65" xfId="0" applyFont="1" applyBorder="1" applyAlignment="1">
      <alignment horizontal="center" vertical="center"/>
    </xf>
    <xf numFmtId="0" fontId="0" fillId="4" borderId="64" xfId="0" applyFill="1" applyBorder="1" applyAlignment="1">
      <alignment horizontal="center" vertical="center"/>
    </xf>
    <xf numFmtId="0" fontId="0" fillId="4" borderId="20" xfId="0" applyFill="1" applyBorder="1" applyAlignment="1">
      <alignment horizontal="center" vertical="center"/>
    </xf>
    <xf numFmtId="0" fontId="0" fillId="10" borderId="52" xfId="0" applyFill="1" applyBorder="1" applyAlignment="1">
      <alignment horizontal="center" vertical="center"/>
    </xf>
    <xf numFmtId="0" fontId="0" fillId="10" borderId="64" xfId="0" applyFill="1" applyBorder="1" applyAlignment="1">
      <alignment horizontal="center" vertical="center"/>
    </xf>
    <xf numFmtId="0" fontId="0" fillId="0" borderId="11" xfId="0" applyBorder="1" applyAlignment="1">
      <alignment horizontal="center" vertical="center"/>
    </xf>
    <xf numFmtId="9" fontId="0" fillId="0" borderId="67" xfId="0" applyNumberFormat="1" applyBorder="1" applyAlignment="1">
      <alignment horizontal="center" vertical="center"/>
    </xf>
    <xf numFmtId="9" fontId="0" fillId="0" borderId="65" xfId="0" applyNumberFormat="1" applyBorder="1" applyAlignment="1">
      <alignment horizontal="center" vertical="center"/>
    </xf>
    <xf numFmtId="9" fontId="0" fillId="0" borderId="49" xfId="0" applyNumberFormat="1" applyBorder="1" applyAlignment="1">
      <alignment horizontal="center" vertical="center"/>
    </xf>
    <xf numFmtId="9" fontId="0" fillId="0" borderId="50" xfId="0" applyNumberFormat="1" applyBorder="1" applyAlignment="1">
      <alignment horizontal="center" vertical="center"/>
    </xf>
    <xf numFmtId="0" fontId="7" fillId="0" borderId="67" xfId="0" applyFont="1" applyFill="1" applyBorder="1" applyAlignment="1">
      <alignment horizontal="center" vertical="center"/>
    </xf>
    <xf numFmtId="176" fontId="7" fillId="9" borderId="50" xfId="0" applyNumberFormat="1" applyFont="1" applyFill="1" applyBorder="1" applyAlignment="1">
      <alignment horizontal="right" vertical="center"/>
    </xf>
    <xf numFmtId="0" fontId="0" fillId="8" borderId="48" xfId="0" applyFill="1" applyBorder="1" applyAlignment="1">
      <alignment horizontal="center" vertical="center"/>
    </xf>
    <xf numFmtId="0" fontId="0" fillId="0" borderId="40" xfId="0" applyBorder="1" applyAlignment="1">
      <alignment horizontal="center" vertical="center"/>
    </xf>
    <xf numFmtId="0" fontId="8" fillId="8" borderId="1" xfId="0" applyFont="1" applyFill="1" applyBorder="1" applyAlignment="1">
      <alignment horizontal="left" vertical="center"/>
    </xf>
    <xf numFmtId="0" fontId="8" fillId="8" borderId="21" xfId="0" applyFont="1" applyFill="1" applyBorder="1" applyAlignment="1">
      <alignment horizontal="left" vertical="center"/>
    </xf>
    <xf numFmtId="0" fontId="8" fillId="8" borderId="3" xfId="0" applyFont="1" applyFill="1" applyBorder="1" applyAlignment="1">
      <alignment horizontal="left" vertical="center"/>
    </xf>
    <xf numFmtId="0" fontId="8" fillId="8" borderId="4" xfId="0" applyFont="1" applyFill="1" applyBorder="1" applyAlignment="1">
      <alignment horizontal="left" vertical="center"/>
    </xf>
    <xf numFmtId="0" fontId="8" fillId="8" borderId="30" xfId="0" applyFont="1" applyFill="1" applyBorder="1" applyAlignment="1">
      <alignment horizontal="left" vertical="center"/>
    </xf>
    <xf numFmtId="0" fontId="8" fillId="8" borderId="13" xfId="0" applyFont="1" applyFill="1" applyBorder="1" applyAlignment="1">
      <alignment horizontal="left" vertical="center"/>
    </xf>
    <xf numFmtId="0" fontId="8" fillId="8" borderId="66"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7" fillId="5" borderId="20" xfId="0" applyFont="1" applyFill="1" applyBorder="1" applyAlignment="1">
      <alignment horizontal="center" vertical="center"/>
    </xf>
    <xf numFmtId="0" fontId="7" fillId="5" borderId="48"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2" fillId="5" borderId="62" xfId="0" applyFont="1" applyFill="1" applyBorder="1" applyAlignment="1">
      <alignment horizontal="center" vertical="center"/>
    </xf>
    <xf numFmtId="0" fontId="12" fillId="5" borderId="79" xfId="0" applyFont="1" applyFill="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178" fontId="0" fillId="0" borderId="51" xfId="0" applyNumberFormat="1" applyBorder="1" applyAlignment="1">
      <alignment horizontal="right" vertical="center"/>
    </xf>
    <xf numFmtId="0" fontId="0" fillId="0" borderId="79" xfId="0" applyBorder="1" applyAlignment="1">
      <alignment vertical="center"/>
    </xf>
    <xf numFmtId="0" fontId="23" fillId="5" borderId="64" xfId="0" applyFont="1" applyFill="1" applyBorder="1" applyAlignment="1">
      <alignment horizontal="center" vertical="center"/>
    </xf>
    <xf numFmtId="0" fontId="23" fillId="5" borderId="67" xfId="0" applyFont="1" applyFill="1" applyBorder="1" applyAlignment="1">
      <alignment horizontal="center" vertical="center"/>
    </xf>
    <xf numFmtId="0" fontId="23" fillId="5" borderId="65" xfId="0" applyFont="1" applyFill="1" applyBorder="1" applyAlignment="1">
      <alignment horizontal="center" vertical="center"/>
    </xf>
    <xf numFmtId="0" fontId="23" fillId="5" borderId="32" xfId="0" applyFont="1" applyFill="1" applyBorder="1" applyAlignment="1">
      <alignment horizontal="center" vertical="center"/>
    </xf>
    <xf numFmtId="0" fontId="23" fillId="5" borderId="49" xfId="0" applyFont="1" applyFill="1" applyBorder="1" applyAlignment="1">
      <alignment horizontal="center" vertical="center"/>
    </xf>
    <xf numFmtId="0" fontId="23" fillId="5" borderId="50" xfId="0" applyFont="1" applyFill="1" applyBorder="1" applyAlignment="1">
      <alignment horizontal="center" vertical="center"/>
    </xf>
    <xf numFmtId="176" fontId="7" fillId="9" borderId="13" xfId="0" applyNumberFormat="1" applyFont="1" applyFill="1" applyBorder="1" applyAlignment="1">
      <alignment horizontal="right" vertical="center"/>
    </xf>
    <xf numFmtId="176" fontId="7" fillId="9" borderId="15" xfId="0" applyNumberFormat="1" applyFont="1" applyFill="1" applyBorder="1" applyAlignment="1">
      <alignment horizontal="right" vertical="center"/>
    </xf>
    <xf numFmtId="0" fontId="8" fillId="8" borderId="64" xfId="0" applyFont="1" applyFill="1" applyBorder="1" applyAlignment="1">
      <alignment vertical="center"/>
    </xf>
    <xf numFmtId="0" fontId="8" fillId="8" borderId="67" xfId="0" applyFont="1" applyFill="1" applyBorder="1" applyAlignment="1">
      <alignment vertical="center"/>
    </xf>
    <xf numFmtId="0" fontId="8" fillId="8" borderId="65" xfId="0" applyFont="1" applyFill="1" applyBorder="1" applyAlignment="1">
      <alignment vertical="center"/>
    </xf>
    <xf numFmtId="0" fontId="8" fillId="8" borderId="20" xfId="0" applyFont="1" applyFill="1" applyBorder="1" applyAlignment="1">
      <alignment vertical="center"/>
    </xf>
    <xf numFmtId="0" fontId="8" fillId="8" borderId="0" xfId="0" applyFont="1" applyFill="1" applyBorder="1" applyAlignment="1">
      <alignment vertical="center"/>
    </xf>
    <xf numFmtId="0" fontId="8" fillId="8" borderId="48" xfId="0" applyFont="1" applyFill="1" applyBorder="1" applyAlignment="1">
      <alignment vertical="center"/>
    </xf>
    <xf numFmtId="0" fontId="0" fillId="8" borderId="135" xfId="0" applyFill="1" applyBorder="1" applyAlignment="1">
      <alignment horizontal="center" vertical="center"/>
    </xf>
    <xf numFmtId="0" fontId="0" fillId="8" borderId="104" xfId="0" applyFill="1" applyBorder="1" applyAlignment="1">
      <alignment horizontal="center" vertical="center"/>
    </xf>
    <xf numFmtId="0" fontId="0" fillId="8" borderId="25" xfId="0" applyFill="1" applyBorder="1" applyAlignment="1">
      <alignment horizontal="center" vertical="center"/>
    </xf>
    <xf numFmtId="0" fontId="0" fillId="8" borderId="64" xfId="0" applyFill="1" applyBorder="1" applyAlignment="1">
      <alignment vertical="center"/>
    </xf>
    <xf numFmtId="0" fontId="0" fillId="8" borderId="65" xfId="0" applyFill="1" applyBorder="1" applyAlignment="1">
      <alignment vertical="center"/>
    </xf>
    <xf numFmtId="178" fontId="0" fillId="10" borderId="17" xfId="0" applyNumberFormat="1" applyFill="1" applyBorder="1" applyAlignment="1">
      <alignment horizontal="center" vertical="center"/>
    </xf>
    <xf numFmtId="176" fontId="7" fillId="9" borderId="42" xfId="0" applyNumberFormat="1" applyFont="1" applyFill="1" applyBorder="1" applyAlignment="1">
      <alignment horizontal="right" vertical="center"/>
    </xf>
    <xf numFmtId="0" fontId="0" fillId="10" borderId="8" xfId="0" applyNumberFormat="1" applyFill="1" applyBorder="1" applyAlignment="1">
      <alignment horizontal="center" vertical="center"/>
    </xf>
    <xf numFmtId="0" fontId="0" fillId="10" borderId="9" xfId="0" applyNumberFormat="1" applyFill="1" applyBorder="1" applyAlignment="1">
      <alignment horizontal="center" vertical="center"/>
    </xf>
    <xf numFmtId="176" fontId="7" fillId="9" borderId="13" xfId="0" applyNumberFormat="1" applyFont="1" applyFill="1" applyBorder="1" applyAlignment="1">
      <alignment vertical="center"/>
    </xf>
    <xf numFmtId="0" fontId="7" fillId="5" borderId="32" xfId="0" applyFont="1" applyFill="1" applyBorder="1" applyAlignment="1">
      <alignment horizontal="center" vertical="center"/>
    </xf>
    <xf numFmtId="0" fontId="7" fillId="5" borderId="50" xfId="0" applyFont="1" applyFill="1" applyBorder="1" applyAlignment="1">
      <alignment horizontal="center" vertical="center"/>
    </xf>
    <xf numFmtId="176" fontId="7" fillId="9" borderId="35" xfId="0" applyNumberFormat="1" applyFont="1" applyFill="1" applyBorder="1" applyAlignment="1">
      <alignment vertical="center"/>
    </xf>
    <xf numFmtId="176" fontId="7" fillId="9" borderId="26" xfId="0" applyNumberFormat="1" applyFont="1" applyFill="1" applyBorder="1" applyAlignment="1">
      <alignment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2" borderId="4" xfId="0" applyFill="1" applyBorder="1" applyAlignment="1">
      <alignment vertical="center"/>
    </xf>
    <xf numFmtId="0" fontId="7" fillId="5" borderId="51" xfId="0" applyFont="1" applyFill="1" applyBorder="1" applyAlignment="1">
      <alignment horizontal="center" vertical="center" shrinkToFit="1"/>
    </xf>
    <xf numFmtId="0" fontId="7" fillId="5" borderId="62" xfId="0" applyFont="1" applyFill="1" applyBorder="1" applyAlignment="1">
      <alignment horizontal="center" vertical="center" shrinkToFit="1"/>
    </xf>
    <xf numFmtId="0" fontId="7" fillId="5" borderId="79" xfId="0" applyFont="1" applyFill="1" applyBorder="1" applyAlignment="1">
      <alignment horizontal="center" vertical="center" shrinkToFit="1"/>
    </xf>
    <xf numFmtId="0" fontId="0" fillId="8" borderId="52" xfId="0" applyFill="1" applyBorder="1" applyAlignment="1">
      <alignment horizontal="center" vertical="center"/>
    </xf>
    <xf numFmtId="0" fontId="0" fillId="8" borderId="43" xfId="0" applyFill="1" applyBorder="1" applyAlignment="1">
      <alignment horizontal="center" vertical="center"/>
    </xf>
    <xf numFmtId="0" fontId="0" fillId="8" borderId="51" xfId="0" applyFill="1" applyBorder="1" applyAlignment="1">
      <alignment horizontal="center" vertical="center"/>
    </xf>
    <xf numFmtId="0" fontId="0" fillId="8" borderId="62" xfId="0" applyFill="1" applyBorder="1" applyAlignment="1">
      <alignment horizontal="center" vertical="center"/>
    </xf>
    <xf numFmtId="0" fontId="0" fillId="8" borderId="61" xfId="0" applyFill="1" applyBorder="1" applyAlignment="1">
      <alignment horizontal="center" vertical="center"/>
    </xf>
    <xf numFmtId="0" fontId="0" fillId="5" borderId="62" xfId="0" applyFill="1" applyBorder="1" applyAlignment="1">
      <alignment vertical="center"/>
    </xf>
    <xf numFmtId="0" fontId="0" fillId="10" borderId="38" xfId="0" applyFill="1" applyBorder="1" applyAlignment="1">
      <alignment vertical="center"/>
    </xf>
    <xf numFmtId="0" fontId="0" fillId="10" borderId="26" xfId="0" applyFill="1" applyBorder="1" applyAlignment="1">
      <alignment vertical="center"/>
    </xf>
    <xf numFmtId="0" fontId="0" fillId="10" borderId="5" xfId="0" applyFill="1" applyBorder="1" applyAlignment="1">
      <alignment horizontal="center" vertical="center"/>
    </xf>
    <xf numFmtId="0" fontId="0" fillId="10" borderId="34" xfId="0" applyFill="1" applyBorder="1" applyAlignment="1">
      <alignment horizontal="right" vertical="center"/>
    </xf>
    <xf numFmtId="176" fontId="7" fillId="9" borderId="14" xfId="0" applyNumberFormat="1" applyFont="1" applyFill="1" applyBorder="1" applyAlignment="1">
      <alignment horizontal="right" vertical="center"/>
    </xf>
    <xf numFmtId="176" fontId="7" fillId="9" borderId="36" xfId="0" applyNumberFormat="1" applyFont="1" applyFill="1" applyBorder="1" applyAlignment="1">
      <alignment horizontal="right" vertical="center"/>
    </xf>
    <xf numFmtId="176" fontId="7" fillId="9" borderId="26" xfId="0" applyNumberFormat="1" applyFont="1" applyFill="1" applyBorder="1" applyAlignment="1">
      <alignment horizontal="right" vertical="center"/>
    </xf>
    <xf numFmtId="0" fontId="16" fillId="4" borderId="25" xfId="0" applyFont="1" applyFill="1" applyBorder="1" applyAlignment="1">
      <alignment horizontal="center" vertical="center" wrapText="1"/>
    </xf>
    <xf numFmtId="0" fontId="0" fillId="8" borderId="35" xfId="0" applyFill="1" applyBorder="1" applyAlignment="1">
      <alignment horizontal="center" vertical="center"/>
    </xf>
    <xf numFmtId="0" fontId="0" fillId="5" borderId="79" xfId="0" applyFill="1" applyBorder="1" applyAlignment="1">
      <alignment vertical="center"/>
    </xf>
    <xf numFmtId="0" fontId="0" fillId="0" borderId="36" xfId="0" applyBorder="1" applyAlignment="1">
      <alignment horizontal="center" vertical="center"/>
    </xf>
    <xf numFmtId="0" fontId="0" fillId="10" borderId="40" xfId="0" applyFill="1" applyBorder="1" applyAlignment="1">
      <alignment vertical="center"/>
    </xf>
    <xf numFmtId="0" fontId="0" fillId="10" borderId="34" xfId="0" applyFill="1" applyBorder="1" applyAlignment="1">
      <alignment vertical="center"/>
    </xf>
    <xf numFmtId="0" fontId="16" fillId="4" borderId="36"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4"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28" xfId="0" applyFont="1" applyFill="1" applyBorder="1" applyAlignment="1">
      <alignment horizontal="center" vertical="center"/>
    </xf>
    <xf numFmtId="0" fontId="7" fillId="2" borderId="12"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0" fillId="0" borderId="62" xfId="0" applyBorder="1" applyAlignment="1">
      <alignment vertical="center"/>
    </xf>
    <xf numFmtId="0" fontId="0" fillId="0" borderId="61" xfId="0" applyFont="1" applyBorder="1" applyAlignment="1">
      <alignment horizontal="right" vertical="center"/>
    </xf>
    <xf numFmtId="0" fontId="0" fillId="0" borderId="26" xfId="0" applyBorder="1" applyAlignment="1">
      <alignment horizontal="center" vertical="center"/>
    </xf>
    <xf numFmtId="0" fontId="0" fillId="0" borderId="35" xfId="0" applyFill="1" applyBorder="1" applyAlignment="1">
      <alignment horizontal="center" vertical="center"/>
    </xf>
    <xf numFmtId="0" fontId="0" fillId="0" borderId="129" xfId="0" applyFill="1" applyBorder="1" applyAlignment="1">
      <alignment vertical="center"/>
    </xf>
    <xf numFmtId="0" fontId="0" fillId="0" borderId="30" xfId="0" applyFill="1" applyBorder="1" applyAlignment="1">
      <alignment vertical="center"/>
    </xf>
    <xf numFmtId="0" fontId="0" fillId="0" borderId="108" xfId="0" applyFill="1" applyBorder="1" applyAlignment="1">
      <alignment vertical="center"/>
    </xf>
    <xf numFmtId="0" fontId="0" fillId="0" borderId="21" xfId="0" applyFill="1" applyBorder="1" applyAlignment="1">
      <alignment vertical="center"/>
    </xf>
    <xf numFmtId="0" fontId="0" fillId="0" borderId="67" xfId="0" applyBorder="1" applyAlignment="1">
      <alignment vertical="center"/>
    </xf>
    <xf numFmtId="0" fontId="0" fillId="0" borderId="65" xfId="0" applyBorder="1" applyAlignment="1">
      <alignment vertical="center"/>
    </xf>
    <xf numFmtId="0" fontId="0" fillId="0" borderId="53" xfId="0" applyBorder="1" applyAlignment="1">
      <alignment vertical="center"/>
    </xf>
    <xf numFmtId="0" fontId="0" fillId="0" borderId="0" xfId="0" applyAlignment="1">
      <alignment vertical="center"/>
    </xf>
    <xf numFmtId="0" fontId="0" fillId="0" borderId="48"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08" xfId="0" applyBorder="1" applyAlignment="1">
      <alignment horizontal="right" vertical="center"/>
    </xf>
    <xf numFmtId="0" fontId="0" fillId="0" borderId="100" xfId="0" applyBorder="1" applyAlignment="1">
      <alignment horizontal="right" vertical="center"/>
    </xf>
    <xf numFmtId="0" fontId="0" fillId="0" borderId="46" xfId="0" applyBorder="1" applyAlignment="1">
      <alignment horizontal="right" vertical="center"/>
    </xf>
    <xf numFmtId="0" fontId="7" fillId="4" borderId="51"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79" xfId="0" applyFont="1" applyFill="1" applyBorder="1" applyAlignment="1">
      <alignment horizontal="center" vertical="center"/>
    </xf>
    <xf numFmtId="0" fontId="8" fillId="0" borderId="51" xfId="0" applyFont="1" applyBorder="1" applyAlignment="1">
      <alignment horizontal="center" vertical="center"/>
    </xf>
    <xf numFmtId="0" fontId="8" fillId="0" borderId="79" xfId="0" applyFont="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27" xfId="0" applyFill="1" applyBorder="1" applyAlignment="1">
      <alignment horizontal="center" vertical="center"/>
    </xf>
    <xf numFmtId="0" fontId="0" fillId="0" borderId="67" xfId="0" applyFont="1" applyBorder="1" applyAlignment="1">
      <alignment horizontal="right" vertical="center"/>
    </xf>
    <xf numFmtId="49" fontId="0" fillId="8" borderId="32" xfId="0" applyNumberFormat="1" applyFill="1" applyBorder="1" applyAlignment="1">
      <alignment horizontal="center" vertical="center"/>
    </xf>
    <xf numFmtId="49" fontId="0" fillId="8" borderId="50" xfId="0" applyNumberFormat="1" applyFill="1" applyBorder="1" applyAlignment="1">
      <alignment horizontal="center" vertical="center"/>
    </xf>
    <xf numFmtId="0" fontId="16" fillId="8" borderId="20" xfId="0" applyFont="1" applyFill="1" applyBorder="1" applyAlignment="1">
      <alignment horizontal="center" vertical="center"/>
    </xf>
    <xf numFmtId="0" fontId="16" fillId="8" borderId="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7" fillId="0" borderId="51" xfId="0" applyNumberFormat="1" applyFont="1" applyFill="1" applyBorder="1" applyAlignment="1">
      <alignment horizontal="center" vertical="center"/>
    </xf>
    <xf numFmtId="0" fontId="7" fillId="0" borderId="79"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07" xfId="0" applyFont="1" applyBorder="1" applyAlignment="1">
      <alignment horizontal="center" vertical="center"/>
    </xf>
    <xf numFmtId="0" fontId="0" fillId="0" borderId="66" xfId="0" applyFont="1" applyBorder="1" applyAlignment="1">
      <alignment horizontal="center" vertical="center"/>
    </xf>
    <xf numFmtId="0" fontId="8" fillId="0" borderId="108" xfId="0" applyFont="1" applyBorder="1" applyAlignment="1">
      <alignment vertical="center"/>
    </xf>
    <xf numFmtId="0" fontId="8" fillId="0" borderId="100" xfId="0" applyFont="1" applyBorder="1" applyAlignment="1">
      <alignment vertical="center"/>
    </xf>
    <xf numFmtId="0" fontId="8" fillId="0" borderId="46" xfId="0" applyFont="1" applyBorder="1" applyAlignment="1">
      <alignment vertical="center"/>
    </xf>
    <xf numFmtId="0" fontId="7" fillId="5" borderId="27" xfId="0" applyFont="1" applyFill="1" applyBorder="1" applyAlignment="1">
      <alignment horizontal="center" vertical="center"/>
    </xf>
    <xf numFmtId="0" fontId="19" fillId="8" borderId="51" xfId="0" applyFont="1" applyFill="1" applyBorder="1" applyAlignment="1">
      <alignment horizontal="center" vertical="center"/>
    </xf>
    <xf numFmtId="0" fontId="19" fillId="8" borderId="62" xfId="0" applyFont="1" applyFill="1" applyBorder="1" applyAlignment="1">
      <alignment horizontal="center" vertical="center"/>
    </xf>
    <xf numFmtId="0" fontId="19" fillId="8" borderId="79"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62" xfId="0" applyFont="1" applyFill="1" applyBorder="1" applyAlignment="1">
      <alignment horizontal="center" vertical="center"/>
    </xf>
    <xf numFmtId="0" fontId="16" fillId="8" borderId="79" xfId="0" applyFont="1" applyFill="1" applyBorder="1" applyAlignment="1">
      <alignment horizontal="center" vertical="center"/>
    </xf>
    <xf numFmtId="0" fontId="0" fillId="8" borderId="20"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48" xfId="0" applyFont="1" applyFill="1" applyBorder="1" applyAlignment="1">
      <alignment horizontal="left" vertical="center" wrapText="1"/>
    </xf>
    <xf numFmtId="0" fontId="7" fillId="8" borderId="20" xfId="0" applyFont="1" applyFill="1" applyBorder="1" applyAlignment="1">
      <alignment horizontal="left" vertical="center"/>
    </xf>
    <xf numFmtId="0" fontId="7" fillId="8" borderId="0" xfId="0" applyFont="1" applyFill="1" applyBorder="1" applyAlignment="1">
      <alignment horizontal="left" vertical="center"/>
    </xf>
    <xf numFmtId="0" fontId="7" fillId="8" borderId="48" xfId="0" applyFont="1" applyFill="1" applyBorder="1" applyAlignment="1">
      <alignment horizontal="left" vertical="center"/>
    </xf>
    <xf numFmtId="0" fontId="0" fillId="8" borderId="20" xfId="0" applyFill="1" applyBorder="1" applyAlignment="1">
      <alignment horizontal="left" vertical="center"/>
    </xf>
    <xf numFmtId="0" fontId="0" fillId="8" borderId="0" xfId="0" applyFill="1" applyBorder="1" applyAlignment="1">
      <alignment horizontal="left" vertical="center"/>
    </xf>
    <xf numFmtId="0" fontId="0" fillId="8" borderId="48" xfId="0" applyFill="1" applyBorder="1" applyAlignment="1">
      <alignment horizontal="left" vertical="center"/>
    </xf>
    <xf numFmtId="0" fontId="14" fillId="8" borderId="64" xfId="0" applyFont="1" applyFill="1" applyBorder="1" applyAlignment="1">
      <alignment horizontal="center" vertical="center"/>
    </xf>
    <xf numFmtId="0" fontId="14" fillId="8" borderId="67" xfId="0" applyFont="1" applyFill="1" applyBorder="1" applyAlignment="1">
      <alignment horizontal="center" vertical="center"/>
    </xf>
    <xf numFmtId="0" fontId="14" fillId="8" borderId="65" xfId="0" applyFont="1" applyFill="1" applyBorder="1" applyAlignment="1">
      <alignment horizontal="center" vertical="center"/>
    </xf>
    <xf numFmtId="0" fontId="17" fillId="8" borderId="64" xfId="0" applyFont="1" applyFill="1" applyBorder="1" applyAlignment="1">
      <alignment horizontal="center" vertical="center"/>
    </xf>
    <xf numFmtId="0" fontId="0" fillId="8" borderId="67" xfId="0" applyFill="1" applyBorder="1" applyAlignment="1">
      <alignment vertical="center"/>
    </xf>
    <xf numFmtId="0" fontId="0" fillId="8" borderId="65" xfId="0" applyFill="1" applyBorder="1" applyAlignment="1">
      <alignment vertical="center"/>
    </xf>
    <xf numFmtId="0" fontId="14" fillId="8" borderId="20" xfId="0" applyFont="1" applyFill="1" applyBorder="1" applyAlignment="1">
      <alignment horizontal="left" vertical="center" wrapText="1"/>
    </xf>
    <xf numFmtId="0" fontId="0" fillId="0" borderId="0"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Sheet1!$A$1</c:f>
              <c:strCache>
                <c:ptCount val="1"/>
                <c:pt idx="0">
                  <c:v>パラディン(聖弱点)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Sheet1!$B$1</c:f>
              <c:numCache/>
            </c:numRef>
          </c:val>
        </c:ser>
        <c:ser>
          <c:idx val="1"/>
          <c:order val="1"/>
          <c:tx>
            <c:strRef>
              <c:f>Sheet1!$A$2</c:f>
              <c:strCache>
                <c:ptCount val="1"/>
                <c:pt idx="0">
                  <c:v>火毒アークメイジ(毒弱点)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Sheet1!$B$2</c:f>
              <c:numCache/>
            </c:numRef>
          </c:val>
        </c:ser>
        <c:ser>
          <c:idx val="2"/>
          <c:order val="2"/>
          <c:tx>
            <c:strRef>
              <c:f>Sheet1!$A$3</c:f>
              <c:strCache>
                <c:ptCount val="1"/>
                <c:pt idx="0">
                  <c:v>氷雷アークメイジ(雷弱点)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Sheet1!$B$3</c:f>
              <c:numCache/>
            </c:numRef>
          </c:val>
        </c:ser>
        <c:ser>
          <c:idx val="3"/>
          <c:order val="3"/>
          <c:tx>
            <c:strRef>
              <c:f>Sheet1!$A$4</c:f>
              <c:strCache>
                <c:ptCount val="1"/>
                <c:pt idx="0">
                  <c:v>アラン(氷弱点)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Sheet1!$B$4</c:f>
              <c:numCache/>
            </c:numRef>
          </c:val>
        </c:ser>
        <c:ser>
          <c:idx val="4"/>
          <c:order val="4"/>
          <c:tx>
            <c:strRef>
              <c:f>Sheet1!$A$5</c:f>
              <c:strCache>
                <c:ptCount val="1"/>
                <c:pt idx="0">
                  <c:v>シャドー(暗殺)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Sheet1!$B$5</c:f>
              <c:numCache/>
            </c:numRef>
          </c:val>
        </c:ser>
        <c:ser>
          <c:idx val="5"/>
          <c:order val="5"/>
          <c:tx>
            <c:strRef>
              <c:f>Sheet1!$A$6</c:f>
              <c:strCache>
                <c:ptCount val="1"/>
                <c:pt idx="0">
                  <c:v>キャプテン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Sheet1!$B$6</c:f>
              <c:numCache/>
            </c:numRef>
          </c:val>
        </c:ser>
        <c:ser>
          <c:idx val="6"/>
          <c:order val="6"/>
          <c:tx>
            <c:strRef>
              <c:f>Sheet1!$A$7</c:f>
              <c:strCache>
                <c:ptCount val="1"/>
                <c:pt idx="0">
                  <c:v>デュアルブレイド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Sheet1!$B$7</c:f>
              <c:numCache/>
            </c:numRef>
          </c:val>
        </c:ser>
        <c:ser>
          <c:idx val="7"/>
          <c:order val="7"/>
          <c:tx>
            <c:strRef>
              <c:f>Sheet1!$A$8</c:f>
              <c:strCache>
                <c:ptCount val="1"/>
                <c:pt idx="0">
                  <c:v>エヴァン(ブレイズ　火弱点)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Sheet1!$B$8</c:f>
              <c:numCache/>
            </c:numRef>
          </c:val>
        </c:ser>
        <c:ser>
          <c:idx val="8"/>
          <c:order val="8"/>
          <c:tx>
            <c:strRef>
              <c:f>Sheet1!$A$9</c:f>
              <c:strCache>
                <c:ptCount val="1"/>
                <c:pt idx="0">
                  <c:v>バトルメイジ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Sheet1!$B$9</c:f>
              <c:numCache/>
            </c:numRef>
          </c:val>
        </c:ser>
        <c:ser>
          <c:idx val="9"/>
          <c:order val="9"/>
          <c:tx>
            <c:strRef>
              <c:f>Sheet1!$A$10</c:f>
              <c:strCache>
                <c:ptCount val="1"/>
                <c:pt idx="0">
                  <c:v>火毒アークメイジ(弱点なし)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Sheet1!$B$10</c:f>
              <c:numCache/>
            </c:numRef>
          </c:val>
        </c:ser>
        <c:ser>
          <c:idx val="10"/>
          <c:order val="10"/>
          <c:tx>
            <c:strRef>
              <c:f>Sheet1!$A$11</c:f>
              <c:strCache>
                <c:ptCount val="1"/>
                <c:pt idx="0">
                  <c:v>ワイルドハンター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Sheet1!$B$11</c:f>
              <c:numCache/>
            </c:numRef>
          </c:val>
        </c:ser>
        <c:ser>
          <c:idx val="11"/>
          <c:order val="11"/>
          <c:tx>
            <c:strRef>
              <c:f>Sheet1!$A$12</c:f>
              <c:strCache>
                <c:ptCount val="1"/>
                <c:pt idx="0">
                  <c:v>メカニック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Sheet1!$B$12</c:f>
              <c:numCache/>
            </c:numRef>
          </c:val>
        </c:ser>
        <c:ser>
          <c:idx val="12"/>
          <c:order val="12"/>
          <c:tx>
            <c:strRef>
              <c:f>Sheet1!$A$13</c:f>
              <c:strCache>
                <c:ptCount val="1"/>
                <c:pt idx="0">
                  <c:v>氷雷アークメイジ(弱点なし)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Sheet1!$B$13</c:f>
              <c:numCache/>
            </c:numRef>
          </c:val>
        </c:ser>
        <c:ser>
          <c:idx val="13"/>
          <c:order val="13"/>
          <c:tx>
            <c:strRef>
              <c:f>Sheet1!$A$14</c:f>
              <c:strCache>
                <c:ptCount val="1"/>
                <c:pt idx="0">
                  <c:v>クロスボウマスター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Sheet1!$B$14</c:f>
              <c:numCache/>
            </c:numRef>
          </c:val>
        </c:ser>
        <c:ser>
          <c:idx val="14"/>
          <c:order val="14"/>
          <c:tx>
            <c:strRef>
              <c:f>Sheet1!$A$15</c:f>
              <c:strCache>
                <c:ptCount val="1"/>
                <c:pt idx="0">
                  <c:v>パラディン(弱点なし)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Sheet1!$B$15</c:f>
              <c:numCache/>
            </c:numRef>
          </c:val>
        </c:ser>
        <c:ser>
          <c:idx val="15"/>
          <c:order val="15"/>
          <c:tx>
            <c:strRef>
              <c:f>Sheet1!$A$16</c:f>
              <c:strCache>
                <c:ptCount val="1"/>
                <c:pt idx="0">
                  <c:v>ボウマスター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Sheet1!$B$16</c:f>
              <c:numCache/>
            </c:numRef>
          </c:val>
        </c:ser>
        <c:ser>
          <c:idx val="16"/>
          <c:order val="16"/>
          <c:tx>
            <c:strRef>
              <c:f>Sheet1!$A$17</c:f>
              <c:strCache>
                <c:ptCount val="1"/>
                <c:pt idx="0">
                  <c:v>ヒーロー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Sheet1!$B$17</c:f>
              <c:numCache/>
            </c:numRef>
          </c:val>
        </c:ser>
        <c:ser>
          <c:idx val="17"/>
          <c:order val="17"/>
          <c:tx>
            <c:strRef>
              <c:f>Sheet1!$A$18</c:f>
              <c:strCache>
                <c:ptCount val="1"/>
                <c:pt idx="0">
                  <c:v>ダークナイト</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Sheet1!$B$18</c:f>
              <c:numCache/>
            </c:numRef>
          </c:val>
        </c:ser>
        <c:ser>
          <c:idx val="18"/>
          <c:order val="18"/>
          <c:tx>
            <c:strRef>
              <c:f>Sheet1!$A$19</c:f>
              <c:strCache>
                <c:ptCount val="1"/>
                <c:pt idx="0">
                  <c:v>アラン(弱点なし)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Sheet1!$B$19</c:f>
              <c:numCache/>
            </c:numRef>
          </c:val>
        </c:ser>
        <c:ser>
          <c:idx val="19"/>
          <c:order val="19"/>
          <c:tx>
            <c:strRef>
              <c:f>Sheet1!$A$20</c:f>
              <c:strCache>
                <c:ptCount val="1"/>
                <c:pt idx="0">
                  <c:v>ビショップ(聖弱点)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0"/>
            <c:showBubbleSize val="0"/>
            <c:showCatName val="0"/>
            <c:showSerName val="1"/>
            <c:showPercent val="0"/>
          </c:dLbls>
          <c:val>
            <c:numRef>
              <c:f>Sheet1!$B$20</c:f>
              <c:numCache/>
            </c:numRef>
          </c:val>
        </c:ser>
        <c:ser>
          <c:idx val="20"/>
          <c:order val="20"/>
          <c:tx>
            <c:strRef>
              <c:f>Sheet1!$A$21</c:f>
              <c:strCache>
                <c:ptCount val="1"/>
                <c:pt idx="0">
                  <c:v>バイパー</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Sheet1!$B$21</c:f>
              <c:numCache/>
            </c:numRef>
          </c:val>
        </c:ser>
        <c:ser>
          <c:idx val="21"/>
          <c:order val="21"/>
          <c:tx>
            <c:strRef>
              <c:f>Sheet1!$A$22</c:f>
              <c:strCache>
                <c:ptCount val="1"/>
                <c:pt idx="0">
                  <c:v>ナイトロード</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ナイトロード</a:t>
                    </a:r>
                  </a:p>
                </c:rich>
              </c:tx>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0"/>
            <c:showSerName val="1"/>
            <c:showPercent val="0"/>
          </c:dLbls>
          <c:val>
            <c:numRef>
              <c:f>Sheet1!$B$22</c:f>
              <c:numCache/>
            </c:numRef>
          </c:val>
        </c:ser>
        <c:ser>
          <c:idx val="22"/>
          <c:order val="22"/>
          <c:tx>
            <c:strRef>
              <c:f>Sheet1!$A$23</c:f>
              <c:strCache>
                <c:ptCount val="1"/>
                <c:pt idx="0">
                  <c:v>エヴァン(ブレイズ　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0"/>
            <c:showBubbleSize val="0"/>
            <c:showCatName val="0"/>
            <c:showSerName val="1"/>
            <c:showPercent val="0"/>
          </c:dLbls>
          <c:val>
            <c:numRef>
              <c:f>Sheet1!$B$23</c:f>
              <c:numCache/>
            </c:numRef>
          </c:val>
        </c:ser>
        <c:ser>
          <c:idx val="23"/>
          <c:order val="23"/>
          <c:tx>
            <c:strRef>
              <c:f>Sheet1!$A$24</c:f>
              <c:strCache>
                <c:ptCount val="1"/>
                <c:pt idx="0">
                  <c:v>エヴァン(イリュージョン)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Sheet1!$B$24</c:f>
              <c:numCache/>
            </c:numRef>
          </c:val>
        </c:ser>
        <c:ser>
          <c:idx val="24"/>
          <c:order val="24"/>
          <c:tx>
            <c:strRef>
              <c:f>Sheet1!$A$25</c:f>
              <c:strCache>
                <c:ptCount val="1"/>
                <c:pt idx="0">
                  <c:v>ビショップ(弱点なし)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1"/>
            <c:showPercent val="0"/>
          </c:dLbls>
          <c:val>
            <c:numRef>
              <c:f>Sheet1!$B$25</c:f>
              <c:numCache/>
            </c:numRef>
          </c:val>
        </c:ser>
        <c:axId val="27117219"/>
        <c:axId val="42728380"/>
      </c:barChart>
      <c:catAx>
        <c:axId val="27117219"/>
        <c:scaling>
          <c:orientation val="minMax"/>
        </c:scaling>
        <c:axPos val="l"/>
        <c:delete val="1"/>
        <c:majorTickMark val="in"/>
        <c:minorTickMark val="none"/>
        <c:tickLblPos val="nextTo"/>
        <c:crossAx val="42728380"/>
        <c:crosses val="autoZero"/>
        <c:auto val="1"/>
        <c:lblOffset val="100"/>
        <c:noMultiLvlLbl val="0"/>
      </c:catAx>
      <c:valAx>
        <c:axId val="42728380"/>
        <c:scaling>
          <c:orientation val="minMax"/>
          <c:max val="25000000"/>
          <c:min val="5000000"/>
        </c:scaling>
        <c:axPos val="b"/>
        <c:majorGridlines/>
        <c:delete val="0"/>
        <c:numFmt formatCode="General" sourceLinked="1"/>
        <c:majorTickMark val="in"/>
        <c:minorTickMark val="none"/>
        <c:tickLblPos val="nextTo"/>
        <c:crossAx val="27117219"/>
        <c:crossesAt val="1"/>
        <c:crossBetween val="between"/>
        <c:dispUnits/>
        <c:majorUnit val="2500000"/>
      </c:valAx>
      <c:spPr>
        <a:noFill/>
        <a:ln>
          <a:noFill/>
        </a:ln>
      </c:spPr>
    </c:plotArea>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95250</xdr:rowOff>
    </xdr:from>
    <xdr:to>
      <xdr:col>14</xdr:col>
      <xdr:colOff>323850</xdr:colOff>
      <xdr:row>24</xdr:row>
      <xdr:rowOff>47625</xdr:rowOff>
    </xdr:to>
    <xdr:graphicFrame>
      <xdr:nvGraphicFramePr>
        <xdr:cNvPr id="1" name="Chart 8"/>
        <xdr:cNvGraphicFramePr/>
      </xdr:nvGraphicFramePr>
      <xdr:xfrm>
        <a:off x="1514475" y="266700"/>
        <a:ext cx="852487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f2d_10l@hotmail.com" TargetMode="Externa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6"/>
  <sheetViews>
    <sheetView workbookViewId="0" topLeftCell="A1">
      <selection activeCell="A1" sqref="A1"/>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customHeight="1" thickBot="1">
      <c r="F1" s="1223" t="s">
        <v>269</v>
      </c>
      <c r="G1" s="1223"/>
      <c r="H1" s="1223"/>
      <c r="I1" s="1223"/>
      <c r="J1" s="1223"/>
      <c r="K1" s="1223"/>
      <c r="L1" s="1223"/>
      <c r="M1" s="1223"/>
      <c r="N1" s="1223"/>
      <c r="O1" s="1223"/>
      <c r="P1" s="1223"/>
    </row>
    <row r="2" spans="2:20" ht="14.25" thickBot="1">
      <c r="B2" s="1153" t="s">
        <v>238</v>
      </c>
      <c r="C2" s="1154"/>
      <c r="D2" s="2">
        <v>150</v>
      </c>
      <c r="E2" s="1"/>
      <c r="F2" s="3" t="s">
        <v>325</v>
      </c>
      <c r="G2" s="3" t="s">
        <v>239</v>
      </c>
      <c r="H2" s="3" t="s">
        <v>240</v>
      </c>
      <c r="I2" s="3" t="s">
        <v>84</v>
      </c>
      <c r="J2" s="3" t="s">
        <v>85</v>
      </c>
      <c r="K2" s="25" t="s">
        <v>749</v>
      </c>
      <c r="N2" s="1224" t="str">
        <f>IF(B4="片手剣","攻撃力",IF(B4="両手剣","攻撃力",IF(B4="片手斧","攻撃力",IF(B4="両手斧","攻撃力","！武器の種類の入力エラー！"))))</f>
        <v>攻撃力</v>
      </c>
      <c r="O2" s="1225"/>
      <c r="P2" s="1226"/>
      <c r="R2" s="1149" t="s">
        <v>737</v>
      </c>
      <c r="S2" s="1144"/>
      <c r="T2" s="1140"/>
    </row>
    <row r="3" spans="2:20" ht="14.25" thickBot="1">
      <c r="B3" s="5" t="s">
        <v>241</v>
      </c>
      <c r="C3" s="536"/>
      <c r="D3" s="6">
        <f>((D2-1)*5+IF(D2&gt;=120,35,IF(D2&gt;=70,30,25)))-(G3+H3+I3+J3)</f>
        <v>0</v>
      </c>
      <c r="E3" s="7" t="s">
        <v>242</v>
      </c>
      <c r="F3" s="8"/>
      <c r="G3" s="8">
        <v>768</v>
      </c>
      <c r="H3" s="8">
        <v>4</v>
      </c>
      <c r="I3" s="8">
        <v>4</v>
      </c>
      <c r="J3" s="8">
        <v>4</v>
      </c>
      <c r="K3" s="9"/>
      <c r="N3" s="10" t="s">
        <v>270</v>
      </c>
      <c r="O3" s="11" t="s">
        <v>271</v>
      </c>
      <c r="P3" s="12" t="s">
        <v>272</v>
      </c>
      <c r="R3" s="1" t="s">
        <v>270</v>
      </c>
      <c r="S3" s="3" t="s">
        <v>271</v>
      </c>
      <c r="T3" s="4" t="s">
        <v>272</v>
      </c>
    </row>
    <row r="4" spans="2:20" ht="14.25" thickBot="1">
      <c r="B4" s="1145" t="s">
        <v>772</v>
      </c>
      <c r="C4" s="1146"/>
      <c r="D4" s="1146"/>
      <c r="E4" s="7" t="s">
        <v>243</v>
      </c>
      <c r="F4" s="8">
        <v>115</v>
      </c>
      <c r="G4" s="8">
        <v>11</v>
      </c>
      <c r="H4" s="8"/>
      <c r="I4" s="8"/>
      <c r="J4" s="8"/>
      <c r="K4" s="9"/>
      <c r="N4" s="14">
        <f>P4*S27</f>
        <v>6042.0696</v>
      </c>
      <c r="O4" s="15">
        <f>(P4+N4)/2</f>
        <v>7336.7988000000005</v>
      </c>
      <c r="P4" s="16">
        <f>$Q$4*($F$29+INT(($F$29*($E$32+$K$52+$K$43-1))))/100</f>
        <v>8631.528</v>
      </c>
      <c r="Q4" s="402">
        <f>IF(OR($B$4="片手剣",$B$4="片手斧"),1.2,1.34)*(4*$G$29+$H$29)</f>
        <v>4768.8</v>
      </c>
      <c r="R4" s="14">
        <f>N4*$G$48*(1-$G$45/100)</f>
        <v>5135.75916</v>
      </c>
      <c r="S4" s="15">
        <f>O4*$G$48*(1-$G$45/100)</f>
        <v>6236.27898</v>
      </c>
      <c r="T4" s="16">
        <f>P4*$G$48*(1-$G$45/100)</f>
        <v>7336.7988</v>
      </c>
    </row>
    <row r="5" spans="2:19" ht="14.25" thickBot="1">
      <c r="B5" s="17" t="s">
        <v>244</v>
      </c>
      <c r="C5" s="195"/>
      <c r="D5" s="18">
        <v>4</v>
      </c>
      <c r="E5" s="7" t="s">
        <v>245</v>
      </c>
      <c r="F5" s="8">
        <v>18</v>
      </c>
      <c r="G5" s="8">
        <v>9</v>
      </c>
      <c r="H5" s="8"/>
      <c r="I5" s="8"/>
      <c r="J5" s="8"/>
      <c r="K5" s="9"/>
      <c r="O5" s="402"/>
      <c r="S5" s="402"/>
    </row>
    <row r="6" spans="2:26" ht="14.25" thickBot="1">
      <c r="B6" s="281" t="s">
        <v>1280</v>
      </c>
      <c r="C6" s="537"/>
      <c r="D6" s="2">
        <v>30</v>
      </c>
      <c r="E6" s="7" t="s">
        <v>246</v>
      </c>
      <c r="F6" s="8"/>
      <c r="G6" s="8">
        <v>10</v>
      </c>
      <c r="H6" s="8">
        <v>16</v>
      </c>
      <c r="I6" s="8">
        <v>10</v>
      </c>
      <c r="J6" s="8">
        <v>10</v>
      </c>
      <c r="K6" s="9">
        <v>22</v>
      </c>
      <c r="N6" s="1158" t="s">
        <v>1281</v>
      </c>
      <c r="O6" s="1159"/>
      <c r="P6" s="1159"/>
      <c r="Q6" s="1159"/>
      <c r="R6" s="1159"/>
      <c r="S6" s="1160"/>
      <c r="T6" s="37" t="s">
        <v>244</v>
      </c>
      <c r="U6" s="25">
        <f>MAX($D$5-$K$39,4)</f>
        <v>4</v>
      </c>
      <c r="W6" s="1190" t="s">
        <v>487</v>
      </c>
      <c r="X6" s="1184"/>
      <c r="Y6" s="1184"/>
      <c r="Z6" s="1185"/>
    </row>
    <row r="7" spans="2:26" ht="14.25" thickBot="1">
      <c r="B7" s="1155" t="s">
        <v>906</v>
      </c>
      <c r="C7" s="1156"/>
      <c r="D7" s="487">
        <v>30</v>
      </c>
      <c r="E7" s="7" t="s">
        <v>247</v>
      </c>
      <c r="F7" s="8">
        <v>5</v>
      </c>
      <c r="G7" s="8"/>
      <c r="H7" s="8"/>
      <c r="I7" s="8"/>
      <c r="J7" s="8"/>
      <c r="K7" s="9"/>
      <c r="N7" s="1147" t="s">
        <v>699</v>
      </c>
      <c r="O7" s="1148"/>
      <c r="P7" s="161">
        <f>(D6*3+135)/100</f>
        <v>2.25</v>
      </c>
      <c r="Q7" s="1141" t="s">
        <v>700</v>
      </c>
      <c r="R7" s="1142"/>
      <c r="S7" s="599">
        <f>IF($X$8&gt;=25,$Y$20,IF($X$8&gt;=19,$Y$19,IF($X$8&gt;=13,$Y$18,IF($X$8&gt;=7,$Y$17,IF($X$8&gt;=1,$Y$16,$Y$15)))))*(1+B52)</f>
        <v>4.5</v>
      </c>
      <c r="T7" s="55" t="s">
        <v>267</v>
      </c>
      <c r="U7" s="56">
        <f>IF(U6=4,94,IF(U6=5,85,IF(U6=6,79,IF(U6=7,73,IF(U6=8,70,0)))))</f>
        <v>94</v>
      </c>
      <c r="W7" s="1183" t="s">
        <v>273</v>
      </c>
      <c r="X7" s="1176"/>
      <c r="Y7" s="24" t="s">
        <v>844</v>
      </c>
      <c r="Z7" s="159">
        <f>(5+ROUNDUP(X8/6,0))/100</f>
        <v>0.1</v>
      </c>
    </row>
    <row r="8" spans="2:26" ht="14.25" thickBot="1">
      <c r="B8" s="1143" t="s">
        <v>966</v>
      </c>
      <c r="C8" s="1134"/>
      <c r="D8" s="487">
        <v>1</v>
      </c>
      <c r="E8" s="7" t="s">
        <v>248</v>
      </c>
      <c r="F8" s="8">
        <v>2</v>
      </c>
      <c r="G8" s="8"/>
      <c r="H8" s="8">
        <v>2</v>
      </c>
      <c r="I8" s="8"/>
      <c r="J8" s="8"/>
      <c r="K8" s="9">
        <v>7</v>
      </c>
      <c r="N8" s="1162" t="s">
        <v>309</v>
      </c>
      <c r="O8" s="3" t="s">
        <v>257</v>
      </c>
      <c r="P8" s="4">
        <f>MIN(INT($R$4*S7*IF(A23="true",(1+D23),1)*(1+$D$20+$B$34+$E$34+$B$52+$K$35)),ReadMe!$M$99)</f>
        <v>36977</v>
      </c>
      <c r="Q8" s="947"/>
      <c r="R8" s="948" t="s">
        <v>257</v>
      </c>
      <c r="S8" s="183">
        <f>MIN(INT(P8+$R$4*$P$7*($E$41-1)),ReadMe!$M$99)</f>
        <v>39288</v>
      </c>
      <c r="T8" s="1166" t="s">
        <v>335</v>
      </c>
      <c r="U8" s="1177">
        <f>INT((P9*(1-$G$41))+(S9*$G$41))</f>
        <v>45145</v>
      </c>
      <c r="W8" s="26" t="s">
        <v>274</v>
      </c>
      <c r="X8" s="27">
        <f>D7</f>
        <v>30</v>
      </c>
      <c r="Y8" s="1168" t="s">
        <v>1280</v>
      </c>
      <c r="Z8" s="1169"/>
    </row>
    <row r="9" spans="2:26" ht="14.25" thickBot="1">
      <c r="B9" s="218"/>
      <c r="C9" s="397"/>
      <c r="D9" s="219"/>
      <c r="E9" s="42" t="s">
        <v>249</v>
      </c>
      <c r="F9" s="8"/>
      <c r="G9" s="8">
        <v>7</v>
      </c>
      <c r="H9" s="8">
        <v>7</v>
      </c>
      <c r="I9" s="8">
        <v>7</v>
      </c>
      <c r="J9" s="8">
        <v>7</v>
      </c>
      <c r="K9" s="9"/>
      <c r="N9" s="1163"/>
      <c r="O9" s="43" t="s">
        <v>258</v>
      </c>
      <c r="P9" s="44">
        <f>INT((P8+P10)/2)</f>
        <v>44900</v>
      </c>
      <c r="Q9" s="949" t="s">
        <v>549</v>
      </c>
      <c r="R9" s="79" t="s">
        <v>258</v>
      </c>
      <c r="S9" s="184">
        <f>MIN(INT(P9+$S$4*$P$7*(($E$41+$F$41)/2-1)),ReadMe!$M$99)</f>
        <v>49811</v>
      </c>
      <c r="T9" s="1167"/>
      <c r="U9" s="1175"/>
      <c r="W9" s="29" t="s">
        <v>253</v>
      </c>
      <c r="X9" s="169" t="s">
        <v>254</v>
      </c>
      <c r="Y9" s="30" t="s">
        <v>255</v>
      </c>
      <c r="Z9" s="31" t="s">
        <v>256</v>
      </c>
    </row>
    <row r="10" spans="2:26" ht="14.25" thickBot="1">
      <c r="B10" s="22"/>
      <c r="C10" s="21"/>
      <c r="D10" s="138"/>
      <c r="E10" s="42" t="s">
        <v>250</v>
      </c>
      <c r="F10" s="8"/>
      <c r="G10" s="8"/>
      <c r="H10" s="8">
        <v>6</v>
      </c>
      <c r="I10" s="8"/>
      <c r="J10" s="8"/>
      <c r="K10" s="9"/>
      <c r="N10" s="1157"/>
      <c r="O10" s="15" t="s">
        <v>259</v>
      </c>
      <c r="P10" s="16">
        <f>MIN(INT($T$4*S7*IF(A23="true",(1+D23),1)*(1+$D$20+$B$34+$E$34+$B$52+$K$35)),ReadMe!$M$99)</f>
        <v>52824</v>
      </c>
      <c r="Q10" s="1083"/>
      <c r="R10" s="249" t="s">
        <v>259</v>
      </c>
      <c r="S10" s="185">
        <f>MIN(INT(P10+$T$4*$P$7*($F$41-1)),ReadMe!$M$99)</f>
        <v>61077</v>
      </c>
      <c r="T10" s="1161"/>
      <c r="U10" s="1172"/>
      <c r="W10" s="34">
        <v>0</v>
      </c>
      <c r="X10" s="171">
        <v>1</v>
      </c>
      <c r="Y10" s="35">
        <f aca="true" t="shared" si="0" ref="Y10:Y20">$P$7*X10</f>
        <v>2.25</v>
      </c>
      <c r="Z10" s="241">
        <f>Y10*3</f>
        <v>6.75</v>
      </c>
    </row>
    <row r="11" spans="2:26" ht="13.5">
      <c r="B11" s="22"/>
      <c r="C11" s="21"/>
      <c r="D11" s="138"/>
      <c r="E11" s="42" t="s">
        <v>698</v>
      </c>
      <c r="F11" s="8"/>
      <c r="G11" s="8"/>
      <c r="H11" s="8"/>
      <c r="I11" s="8"/>
      <c r="J11" s="8"/>
      <c r="K11" s="9"/>
      <c r="N11" s="1233" t="s">
        <v>1135</v>
      </c>
      <c r="O11" s="11" t="s">
        <v>257</v>
      </c>
      <c r="P11" s="396">
        <f>P8*3</f>
        <v>110931</v>
      </c>
      <c r="Q11" s="1087" t="s">
        <v>1112</v>
      </c>
      <c r="R11" s="899">
        <v>1</v>
      </c>
      <c r="S11" s="1173">
        <f>IF(AND(A23="true",R11&gt;1),"インレイジ時複数補足不可",(P12*U7*$R$11+(U7*0.4*U23))*G47)</f>
        <v>13862499.6</v>
      </c>
      <c r="T11" s="1173"/>
      <c r="U11" s="1174"/>
      <c r="W11" s="170">
        <v>1</v>
      </c>
      <c r="X11" s="172">
        <f>1+$Z$7*W11</f>
        <v>1.1</v>
      </c>
      <c r="Y11" s="35">
        <f t="shared" si="0"/>
        <v>2.475</v>
      </c>
      <c r="Z11" s="241">
        <f aca="true" t="shared" si="1" ref="Z11:Z20">Y11*3</f>
        <v>7.425000000000001</v>
      </c>
    </row>
    <row r="12" spans="2:26" ht="13.5">
      <c r="B12" s="22"/>
      <c r="C12" s="21"/>
      <c r="D12" s="138"/>
      <c r="E12" s="42" t="s">
        <v>587</v>
      </c>
      <c r="F12" s="8"/>
      <c r="G12" s="8">
        <v>20</v>
      </c>
      <c r="H12" s="8">
        <v>3</v>
      </c>
      <c r="I12" s="8"/>
      <c r="J12" s="8"/>
      <c r="K12" s="9">
        <v>5</v>
      </c>
      <c r="N12" s="1163"/>
      <c r="O12" s="261" t="s">
        <v>335</v>
      </c>
      <c r="P12" s="493">
        <f>U8*3</f>
        <v>135435</v>
      </c>
      <c r="Q12" s="557" t="s">
        <v>179</v>
      </c>
      <c r="R12" s="558"/>
      <c r="S12" s="1173"/>
      <c r="T12" s="1173"/>
      <c r="U12" s="1174"/>
      <c r="W12" s="38">
        <v>2</v>
      </c>
      <c r="X12" s="172">
        <f aca="true" t="shared" si="2" ref="X12:X19">1+$Z$7*W12</f>
        <v>1.2</v>
      </c>
      <c r="Y12" s="35">
        <f t="shared" si="0"/>
        <v>2.6999999999999997</v>
      </c>
      <c r="Z12" s="241">
        <f t="shared" si="1"/>
        <v>8.1</v>
      </c>
    </row>
    <row r="13" spans="2:26" ht="14.25" thickBot="1">
      <c r="B13" s="22"/>
      <c r="C13" s="21"/>
      <c r="D13" s="138"/>
      <c r="E13" s="42" t="s">
        <v>697</v>
      </c>
      <c r="F13" s="8"/>
      <c r="G13" s="8">
        <v>14</v>
      </c>
      <c r="H13" s="8">
        <v>5</v>
      </c>
      <c r="I13" s="8"/>
      <c r="J13" s="8"/>
      <c r="K13" s="9">
        <v>5</v>
      </c>
      <c r="N13" s="1157"/>
      <c r="O13" s="15" t="s">
        <v>259</v>
      </c>
      <c r="P13" s="46">
        <f>S10*3</f>
        <v>183231</v>
      </c>
      <c r="Q13" s="1164" t="s">
        <v>277</v>
      </c>
      <c r="R13" s="1165"/>
      <c r="S13" s="1170"/>
      <c r="T13" s="1170"/>
      <c r="U13" s="1171"/>
      <c r="W13" s="38">
        <v>3</v>
      </c>
      <c r="X13" s="172">
        <f t="shared" si="2"/>
        <v>1.3</v>
      </c>
      <c r="Y13" s="35">
        <f t="shared" si="0"/>
        <v>2.9250000000000003</v>
      </c>
      <c r="Z13" s="241">
        <f t="shared" si="1"/>
        <v>8.775</v>
      </c>
    </row>
    <row r="14" spans="2:26" ht="14.25" thickBot="1">
      <c r="B14" s="22"/>
      <c r="C14" s="21"/>
      <c r="D14" s="138"/>
      <c r="E14" s="42" t="s">
        <v>260</v>
      </c>
      <c r="F14" s="8"/>
      <c r="G14" s="8">
        <v>8</v>
      </c>
      <c r="H14" s="8">
        <v>13</v>
      </c>
      <c r="I14" s="8"/>
      <c r="J14" s="8"/>
      <c r="K14" s="9">
        <v>5</v>
      </c>
      <c r="V14" s="21"/>
      <c r="W14" s="38">
        <v>4</v>
      </c>
      <c r="X14" s="172">
        <f t="shared" si="2"/>
        <v>1.4</v>
      </c>
      <c r="Y14" s="35">
        <f t="shared" si="0"/>
        <v>3.15</v>
      </c>
      <c r="Z14" s="241">
        <f t="shared" si="1"/>
        <v>9.45</v>
      </c>
    </row>
    <row r="15" spans="2:26" ht="14.25" thickBot="1">
      <c r="B15" s="22"/>
      <c r="C15" s="21"/>
      <c r="D15" s="138"/>
      <c r="E15" s="42" t="s">
        <v>261</v>
      </c>
      <c r="F15" s="8">
        <v>15</v>
      </c>
      <c r="G15" s="8"/>
      <c r="H15" s="8"/>
      <c r="I15" s="8"/>
      <c r="J15" s="8"/>
      <c r="K15" s="9"/>
      <c r="N15" s="1158" t="s">
        <v>965</v>
      </c>
      <c r="O15" s="1159"/>
      <c r="P15" s="1159"/>
      <c r="Q15" s="1159"/>
      <c r="R15" s="1159"/>
      <c r="S15" s="1160"/>
      <c r="W15" s="38">
        <v>5</v>
      </c>
      <c r="X15" s="172">
        <f t="shared" si="2"/>
        <v>1.5</v>
      </c>
      <c r="Y15" s="35">
        <f t="shared" si="0"/>
        <v>3.375</v>
      </c>
      <c r="Z15" s="241">
        <f t="shared" si="1"/>
        <v>10.125</v>
      </c>
    </row>
    <row r="16" spans="2:26" ht="14.25" thickBot="1">
      <c r="B16" s="22"/>
      <c r="C16" s="21"/>
      <c r="D16" s="138"/>
      <c r="E16" s="42" t="s">
        <v>262</v>
      </c>
      <c r="F16" s="8">
        <v>4</v>
      </c>
      <c r="G16" s="8"/>
      <c r="H16" s="8">
        <v>8</v>
      </c>
      <c r="I16" s="8"/>
      <c r="J16" s="8"/>
      <c r="K16" s="9"/>
      <c r="N16" s="23" t="s">
        <v>727</v>
      </c>
      <c r="O16" s="83">
        <f>$D$8</f>
        <v>1</v>
      </c>
      <c r="P16" s="19" t="s">
        <v>252</v>
      </c>
      <c r="Q16" s="75">
        <f>(D8*4+130)/100</f>
        <v>1.34</v>
      </c>
      <c r="R16" s="280" t="s">
        <v>995</v>
      </c>
      <c r="S16" s="50">
        <f>Q16*IF($X$8&gt;=25,$X$20,IF($X$8&gt;=19,$X$19,IF($X$8&gt;=13,$X$18,IF($X$8&gt;=7,$X$17,IF($X$8&gt;=1,$X$16,$X$15)))))</f>
        <v>2.68</v>
      </c>
      <c r="W16" s="45">
        <v>6</v>
      </c>
      <c r="X16" s="172">
        <f t="shared" si="2"/>
        <v>1.6</v>
      </c>
      <c r="Y16" s="35">
        <f t="shared" si="0"/>
        <v>3.6</v>
      </c>
      <c r="Z16" s="241">
        <f t="shared" si="1"/>
        <v>10.8</v>
      </c>
    </row>
    <row r="17" spans="2:26" ht="14.25" thickBot="1">
      <c r="B17" s="22"/>
      <c r="C17" s="21"/>
      <c r="D17" s="138"/>
      <c r="E17" s="42" t="s">
        <v>5</v>
      </c>
      <c r="F17" s="8"/>
      <c r="G17" s="8">
        <v>3</v>
      </c>
      <c r="H17" s="8">
        <v>3</v>
      </c>
      <c r="I17" s="8">
        <v>3</v>
      </c>
      <c r="J17" s="8">
        <v>3</v>
      </c>
      <c r="K17" s="9"/>
      <c r="N17" s="1227" t="s">
        <v>728</v>
      </c>
      <c r="O17" s="76" t="s">
        <v>257</v>
      </c>
      <c r="P17" s="527">
        <f>MIN(INT($R$4*S16*IF($A$23="true",(1+$D$23),1)*(1+$D$20+$B$34+$E$34+$B$52+$K$35)),ReadMe!$M$99)</f>
        <v>22022</v>
      </c>
      <c r="Q17" s="1234" t="s">
        <v>725</v>
      </c>
      <c r="R17" s="186" t="s">
        <v>257</v>
      </c>
      <c r="S17" s="183">
        <f>MIN(INT(P17+$R$4*$Q$16*($E$41-1)),ReadMe!$M$99)</f>
        <v>23398</v>
      </c>
      <c r="T17" s="1150" t="s">
        <v>335</v>
      </c>
      <c r="U17" s="1177">
        <f>INT((P18*(1-$G$41))+(S18*$G$41))</f>
        <v>26887</v>
      </c>
      <c r="W17" s="45">
        <v>7</v>
      </c>
      <c r="X17" s="172">
        <f t="shared" si="2"/>
        <v>1.7000000000000002</v>
      </c>
      <c r="Y17" s="35">
        <f t="shared" si="0"/>
        <v>3.825</v>
      </c>
      <c r="Z17" s="241">
        <f t="shared" si="1"/>
        <v>11.475000000000001</v>
      </c>
    </row>
    <row r="18" spans="1:26" ht="13.5">
      <c r="A18" s="402"/>
      <c r="B18" s="1" t="s">
        <v>288</v>
      </c>
      <c r="C18" s="3"/>
      <c r="D18" s="4"/>
      <c r="E18" s="42" t="s">
        <v>5</v>
      </c>
      <c r="F18" s="8">
        <v>1</v>
      </c>
      <c r="G18" s="8">
        <v>1</v>
      </c>
      <c r="H18" s="8">
        <v>1</v>
      </c>
      <c r="I18" s="8">
        <v>1</v>
      </c>
      <c r="J18" s="8">
        <v>1</v>
      </c>
      <c r="K18" s="9"/>
      <c r="N18" s="1228"/>
      <c r="O18" s="43" t="s">
        <v>258</v>
      </c>
      <c r="P18" s="223">
        <f>INT((P17+P19)/2)</f>
        <v>26741</v>
      </c>
      <c r="Q18" s="1235"/>
      <c r="R18" s="79" t="s">
        <v>258</v>
      </c>
      <c r="S18" s="184">
        <f>MIN(INT(P18+$S$4*$Q$16*(($E$41+$F$41)/2-1)),ReadMe!$M$99)</f>
        <v>29665</v>
      </c>
      <c r="T18" s="1151"/>
      <c r="U18" s="1175"/>
      <c r="W18" s="45">
        <v>8</v>
      </c>
      <c r="X18" s="172">
        <f t="shared" si="2"/>
        <v>1.8</v>
      </c>
      <c r="Y18" s="35">
        <f t="shared" si="0"/>
        <v>4.05</v>
      </c>
      <c r="Z18" s="241">
        <f t="shared" si="1"/>
        <v>12.149999999999999</v>
      </c>
    </row>
    <row r="19" spans="1:26" ht="14.25" thickBot="1">
      <c r="A19" s="402" t="b">
        <v>0</v>
      </c>
      <c r="B19" s="7" t="s">
        <v>820</v>
      </c>
      <c r="C19" s="43"/>
      <c r="D19" s="512"/>
      <c r="E19" s="42" t="s">
        <v>5</v>
      </c>
      <c r="F19" s="8">
        <v>1</v>
      </c>
      <c r="G19" s="8">
        <v>1</v>
      </c>
      <c r="H19" s="8">
        <v>1</v>
      </c>
      <c r="I19" s="8">
        <v>1</v>
      </c>
      <c r="J19" s="8">
        <v>1</v>
      </c>
      <c r="K19" s="9"/>
      <c r="N19" s="1229"/>
      <c r="O19" s="15" t="s">
        <v>259</v>
      </c>
      <c r="P19" s="529">
        <f>MIN(INT(T4*S16*IF(A23="true",(1+D23),1)*(1+$D$20+$B$34+$E$34+$B$52+$K$35)),ReadMe!$M$99)</f>
        <v>31460</v>
      </c>
      <c r="Q19" s="1236"/>
      <c r="R19" s="86" t="s">
        <v>259</v>
      </c>
      <c r="S19" s="185">
        <f>MIN(INT(P19+$T$4*$Q$16*($F$41-1)),ReadMe!$M$99)</f>
        <v>36375</v>
      </c>
      <c r="T19" s="1152"/>
      <c r="U19" s="1172"/>
      <c r="W19" s="49">
        <v>9</v>
      </c>
      <c r="X19" s="172">
        <f t="shared" si="2"/>
        <v>1.9</v>
      </c>
      <c r="Y19" s="35">
        <f t="shared" si="0"/>
        <v>4.2749999999999995</v>
      </c>
      <c r="Z19" s="241">
        <f t="shared" si="1"/>
        <v>12.825</v>
      </c>
    </row>
    <row r="20" spans="1:26" ht="14.25" thickBot="1">
      <c r="A20" s="402" t="str">
        <f>IF(A19=TRUE,"TRUE",IF(D19=1,"TRUE","FLASE"))</f>
        <v>FLASE</v>
      </c>
      <c r="B20" s="14" t="s">
        <v>1100</v>
      </c>
      <c r="C20" s="15"/>
      <c r="D20" s="28">
        <f>IF(A20="true",0.25,0)</f>
        <v>0</v>
      </c>
      <c r="E20" s="42" t="s">
        <v>5</v>
      </c>
      <c r="F20" s="8"/>
      <c r="G20" s="8"/>
      <c r="H20" s="8"/>
      <c r="I20" s="8"/>
      <c r="J20" s="8"/>
      <c r="K20" s="9"/>
      <c r="W20" s="166">
        <v>10</v>
      </c>
      <c r="X20" s="593">
        <f>1+$Z$7*W20</f>
        <v>2</v>
      </c>
      <c r="Y20" s="167">
        <f t="shared" si="0"/>
        <v>4.5</v>
      </c>
      <c r="Z20" s="74">
        <f t="shared" si="1"/>
        <v>13.5</v>
      </c>
    </row>
    <row r="21" spans="1:19" ht="14.25" thickBot="1">
      <c r="A21" s="402"/>
      <c r="B21" s="975" t="s">
        <v>1095</v>
      </c>
      <c r="C21" s="552"/>
      <c r="D21" s="204">
        <v>30</v>
      </c>
      <c r="E21" s="42" t="s">
        <v>1305</v>
      </c>
      <c r="F21" s="8"/>
      <c r="G21" s="8">
        <v>2</v>
      </c>
      <c r="H21" s="8">
        <v>2</v>
      </c>
      <c r="I21" s="8">
        <v>2</v>
      </c>
      <c r="J21" s="8">
        <v>2</v>
      </c>
      <c r="K21" s="9"/>
      <c r="N21" s="1158" t="s">
        <v>1109</v>
      </c>
      <c r="O21" s="1159"/>
      <c r="P21" s="1159"/>
      <c r="Q21" s="1159"/>
      <c r="R21" s="1159"/>
      <c r="S21" s="1160"/>
    </row>
    <row r="22" spans="1:19" ht="14.25" thickBot="1">
      <c r="A22" s="402" t="b">
        <v>1</v>
      </c>
      <c r="B22" s="22" t="s">
        <v>1099</v>
      </c>
      <c r="C22" s="21"/>
      <c r="D22" s="592"/>
      <c r="E22" s="42" t="s">
        <v>1306</v>
      </c>
      <c r="F22" s="8"/>
      <c r="G22" s="8">
        <v>3</v>
      </c>
      <c r="H22" s="8">
        <v>3</v>
      </c>
      <c r="I22" s="8">
        <v>3</v>
      </c>
      <c r="J22" s="8">
        <v>3</v>
      </c>
      <c r="K22" s="9"/>
      <c r="N22" s="23" t="s">
        <v>238</v>
      </c>
      <c r="O22" s="83">
        <f>$D$8</f>
        <v>1</v>
      </c>
      <c r="P22" s="19" t="s">
        <v>252</v>
      </c>
      <c r="Q22" s="75">
        <v>1.5</v>
      </c>
      <c r="R22" s="728" t="s">
        <v>995</v>
      </c>
      <c r="S22" s="75">
        <f>Q22*IF($X$8&gt;=25,$X$20,IF($X$8&gt;=19,$X$19,IF($X$8&gt;=13,$X$18,IF($X$8&gt;=7,$X$17,IF($X$8&gt;=1,$X$16,$X$15)))))</f>
        <v>3</v>
      </c>
    </row>
    <row r="23" spans="1:21" ht="14.25" thickBot="1">
      <c r="A23" s="402" t="str">
        <f>IF(A22=TRUE,"TRUE",IF(D22=1,"TRUE","FLASE"))</f>
        <v>TRUE</v>
      </c>
      <c r="B23" s="14" t="s">
        <v>1100</v>
      </c>
      <c r="C23" s="15"/>
      <c r="D23" s="28">
        <f>D21*2/100</f>
        <v>0.6</v>
      </c>
      <c r="E23" s="42" t="s">
        <v>181</v>
      </c>
      <c r="F23" s="8"/>
      <c r="G23" s="8"/>
      <c r="H23" s="8"/>
      <c r="I23" s="8"/>
      <c r="J23" s="8"/>
      <c r="K23" s="9"/>
      <c r="N23" s="1162" t="s">
        <v>309</v>
      </c>
      <c r="O23" s="3" t="s">
        <v>257</v>
      </c>
      <c r="P23" s="4">
        <f>MIN(INT($R$4*S22*IF(A23="true",(1+D23),1)*(1+$D$20+$B$34+$E$34+$B$52+$K$35)),ReadMe!$M$99)</f>
        <v>24651</v>
      </c>
      <c r="Q23" s="621"/>
      <c r="R23" s="168" t="s">
        <v>257</v>
      </c>
      <c r="S23" s="183">
        <f>MIN(INT(P23+$R$4*$Q$22*($E$41-1)),ReadMe!$M$99)</f>
        <v>26191</v>
      </c>
      <c r="T23" s="1150" t="s">
        <v>335</v>
      </c>
      <c r="U23" s="1177">
        <f>INT((P24*(1-$G$41))+(S24*$G$41))</f>
        <v>30096</v>
      </c>
    </row>
    <row r="24" spans="2:21" ht="13.5">
      <c r="B24" s="311" t="s">
        <v>1093</v>
      </c>
      <c r="C24" s="312"/>
      <c r="D24" s="1135">
        <v>10</v>
      </c>
      <c r="E24" s="42" t="s">
        <v>998</v>
      </c>
      <c r="F24" s="8"/>
      <c r="G24" s="8"/>
      <c r="H24" s="8"/>
      <c r="I24" s="8"/>
      <c r="J24" s="8"/>
      <c r="K24" s="9"/>
      <c r="N24" s="1163"/>
      <c r="O24" s="43" t="s">
        <v>258</v>
      </c>
      <c r="P24" s="44">
        <f>INT((P23+P25)/2)</f>
        <v>29933</v>
      </c>
      <c r="Q24" s="622" t="s">
        <v>549</v>
      </c>
      <c r="R24" s="79" t="s">
        <v>258</v>
      </c>
      <c r="S24" s="184">
        <f>MIN(INT(P24+$S$4*$Q$22*(($E$41+$F$41)/2-1)),ReadMe!$M$99)</f>
        <v>33207</v>
      </c>
      <c r="T24" s="1151"/>
      <c r="U24" s="1175"/>
    </row>
    <row r="25" spans="2:21" ht="14.25" thickBot="1">
      <c r="B25" s="311" t="s">
        <v>1094</v>
      </c>
      <c r="C25" s="312"/>
      <c r="D25" s="1136"/>
      <c r="E25" s="42" t="s">
        <v>1153</v>
      </c>
      <c r="F25" s="488">
        <v>20</v>
      </c>
      <c r="G25" s="488"/>
      <c r="H25" s="488"/>
      <c r="I25" s="488"/>
      <c r="J25" s="488"/>
      <c r="K25" s="489"/>
      <c r="N25" s="1157"/>
      <c r="O25" s="15" t="s">
        <v>259</v>
      </c>
      <c r="P25" s="16">
        <f>MIN(INT($T$4*S22*IF(A23="true",(1+D23),1)*(1+$D$20+$B$34+$E$34+$B$52+$K$35)),ReadMe!$M$99)</f>
        <v>35216</v>
      </c>
      <c r="Q25" s="623"/>
      <c r="R25" s="86" t="s">
        <v>259</v>
      </c>
      <c r="S25" s="185">
        <f>MIN(INT(P25+$T$4*$Q$22*($F$41-1)),ReadMe!$M$99)</f>
        <v>40718</v>
      </c>
      <c r="T25" s="1152"/>
      <c r="U25" s="1172"/>
    </row>
    <row r="26" spans="2:11" ht="14.25" thickBot="1">
      <c r="B26" s="14" t="s">
        <v>1092</v>
      </c>
      <c r="C26" s="15"/>
      <c r="D26" s="28">
        <f>(4*D24)/100</f>
        <v>0.4</v>
      </c>
      <c r="E26" s="42" t="s">
        <v>714</v>
      </c>
      <c r="F26" s="488"/>
      <c r="G26" s="488"/>
      <c r="H26" s="488"/>
      <c r="I26" s="488"/>
      <c r="J26" s="488"/>
      <c r="K26" s="489"/>
    </row>
    <row r="27" spans="2:19" ht="14.25" thickBot="1">
      <c r="B27" s="1132" t="s">
        <v>275</v>
      </c>
      <c r="C27" s="1128"/>
      <c r="D27" s="20">
        <v>9</v>
      </c>
      <c r="E27" s="216" t="s">
        <v>1310</v>
      </c>
      <c r="F27" s="8"/>
      <c r="G27" s="40">
        <f>ROUNDDOWN(G3*D28%,0)</f>
        <v>38</v>
      </c>
      <c r="H27" s="40">
        <f>ROUNDDOWN(H3*D28%,0)</f>
        <v>0</v>
      </c>
      <c r="I27" s="40">
        <f>ROUNDDOWN(I3*D28%,0)</f>
        <v>0</v>
      </c>
      <c r="J27" s="40">
        <f>ROUNDDOWN(J3*D28%,0)</f>
        <v>0</v>
      </c>
      <c r="K27" s="9">
        <v>120</v>
      </c>
      <c r="N27" s="1237" t="s">
        <v>1405</v>
      </c>
      <c r="O27" s="1238"/>
      <c r="P27" s="1238"/>
      <c r="Q27" s="1239"/>
      <c r="R27" s="465" t="s">
        <v>310</v>
      </c>
      <c r="S27" s="462">
        <v>0.7</v>
      </c>
    </row>
    <row r="28" spans="2:19" ht="14.25" thickBot="1">
      <c r="B28" s="5" t="s">
        <v>263</v>
      </c>
      <c r="C28" s="536"/>
      <c r="D28" s="6">
        <f>ROUNDUP(D27/2,0)</f>
        <v>5</v>
      </c>
      <c r="E28" s="7" t="s">
        <v>264</v>
      </c>
      <c r="F28" s="43">
        <f>D29</f>
        <v>0</v>
      </c>
      <c r="G28" s="43">
        <f>SUM(G4:G26)</f>
        <v>89</v>
      </c>
      <c r="H28" s="43">
        <f>SUM(H4:H26)</f>
        <v>70</v>
      </c>
      <c r="I28" s="43">
        <f>SUM(I4:I26)</f>
        <v>27</v>
      </c>
      <c r="J28" s="43">
        <f>SUM(J4:J26)</f>
        <v>27</v>
      </c>
      <c r="K28" s="44">
        <f>SUM(K3:K26)+D29+K27</f>
        <v>164</v>
      </c>
      <c r="N28" s="1201" t="s">
        <v>1406</v>
      </c>
      <c r="O28" s="1180"/>
      <c r="P28" s="620">
        <v>1</v>
      </c>
      <c r="Q28" s="1181" t="s">
        <v>1334</v>
      </c>
      <c r="R28" s="1182"/>
      <c r="S28" s="313">
        <v>1</v>
      </c>
    </row>
    <row r="29" spans="2:21" ht="14.25" thickBot="1">
      <c r="B29" s="163" t="s">
        <v>1378</v>
      </c>
      <c r="C29" s="397"/>
      <c r="D29" s="224">
        <v>0</v>
      </c>
      <c r="E29" s="5" t="s">
        <v>256</v>
      </c>
      <c r="F29" s="546">
        <f>SUM(F3:F28)</f>
        <v>181</v>
      </c>
      <c r="G29" s="546">
        <f>INT((G3+G27+G28)*(1+G32))</f>
        <v>975</v>
      </c>
      <c r="H29" s="546">
        <f>INT((H3+H27+H28)*(1+H32))</f>
        <v>74</v>
      </c>
      <c r="I29" s="546">
        <f>INT((I3+I27+I28)*(1+I32))</f>
        <v>31</v>
      </c>
      <c r="J29" s="546">
        <f>INT((J3+J27+J28)*(1+J32))</f>
        <v>31</v>
      </c>
      <c r="K29" s="547">
        <f>($G$29*0.4+$J$29*0.8+$H$29*1.6+K28)*(1+K32)</f>
        <v>697.2</v>
      </c>
      <c r="N29" s="1227" t="s">
        <v>304</v>
      </c>
      <c r="O29" s="76" t="s">
        <v>257</v>
      </c>
      <c r="P29" s="527">
        <f>INT($R$4*P28*IF($A$23="true",(1+$D$23),1)*(1+$D$20+$B$34+$E$34+$B$52+$K$35))</f>
        <v>8217</v>
      </c>
      <c r="Q29" s="1295" t="s">
        <v>177</v>
      </c>
      <c r="R29" s="78" t="s">
        <v>257</v>
      </c>
      <c r="S29" s="183">
        <f>MIN(INT(P29+$R$4*$P$7*($E$41-1)),ReadMe!$M$99)</f>
        <v>10528</v>
      </c>
      <c r="T29" s="21"/>
      <c r="U29" s="57"/>
    </row>
    <row r="30" spans="2:21" ht="14.25" thickBot="1">
      <c r="B30" s="1305" t="s">
        <v>981</v>
      </c>
      <c r="C30" s="1306"/>
      <c r="D30" s="1306"/>
      <c r="E30" s="1306"/>
      <c r="F30" s="1306"/>
      <c r="G30" s="1306"/>
      <c r="H30" s="1306"/>
      <c r="I30" s="1306"/>
      <c r="J30" s="1306"/>
      <c r="K30" s="1307"/>
      <c r="N30" s="1228"/>
      <c r="O30" s="43" t="s">
        <v>258</v>
      </c>
      <c r="P30" s="223">
        <f>INT((P29+P31)/2)</f>
        <v>9977</v>
      </c>
      <c r="Q30" s="1296"/>
      <c r="R30" s="79" t="s">
        <v>258</v>
      </c>
      <c r="S30" s="184">
        <f>MIN(INT(P30+$S$4*$P$28*(($E$41+$F$41)/2-1)),ReadMe!$M$99)</f>
        <v>12159</v>
      </c>
      <c r="T30" s="21"/>
      <c r="U30" s="57"/>
    </row>
    <row r="31" spans="2:19" ht="14.25" thickBot="1">
      <c r="B31" s="1218" t="s">
        <v>762</v>
      </c>
      <c r="C31" s="1219"/>
      <c r="D31" s="1220"/>
      <c r="E31" s="1308" t="s">
        <v>982</v>
      </c>
      <c r="F31" s="1309"/>
      <c r="G31" s="1" t="s">
        <v>986</v>
      </c>
      <c r="H31" s="3" t="s">
        <v>985</v>
      </c>
      <c r="I31" s="3" t="s">
        <v>984</v>
      </c>
      <c r="J31" s="3" t="s">
        <v>983</v>
      </c>
      <c r="K31" s="4" t="s">
        <v>987</v>
      </c>
      <c r="N31" s="1229"/>
      <c r="O31" s="15" t="s">
        <v>259</v>
      </c>
      <c r="P31" s="529">
        <f>INT($T$4*P28*IF($A$23="true",(1+$D$23),1)*(1+$D$20+$B$34+$E$34+$B$52+$K$35))</f>
        <v>11738</v>
      </c>
      <c r="Q31" s="619" t="s">
        <v>309</v>
      </c>
      <c r="R31" s="86" t="s">
        <v>259</v>
      </c>
      <c r="S31" s="185">
        <f>MIN(INT(P31+$T$4*$P$7*($F$41-1)),ReadMe!$M$99)</f>
        <v>19991</v>
      </c>
    </row>
    <row r="32" spans="2:19" ht="14.25" thickBot="1">
      <c r="B32" s="1210">
        <v>0</v>
      </c>
      <c r="C32" s="1211"/>
      <c r="D32" s="1212"/>
      <c r="E32" s="1130">
        <v>0</v>
      </c>
      <c r="F32" s="1131"/>
      <c r="G32" s="542">
        <v>0.09</v>
      </c>
      <c r="H32" s="543">
        <v>0</v>
      </c>
      <c r="I32" s="543">
        <v>0</v>
      </c>
      <c r="J32" s="543">
        <v>0</v>
      </c>
      <c r="K32" s="544">
        <v>0</v>
      </c>
      <c r="N32" s="1230" t="s">
        <v>323</v>
      </c>
      <c r="O32" s="1231"/>
      <c r="P32" s="1232"/>
      <c r="Q32" s="1186">
        <f>INT((P30*(1-$G$41))+(S30*$G$41))</f>
        <v>10086</v>
      </c>
      <c r="R32" s="1178"/>
      <c r="S32" s="1179"/>
    </row>
    <row r="33" spans="2:19" ht="14.25" thickBot="1">
      <c r="B33" s="1221" t="s">
        <v>135</v>
      </c>
      <c r="C33" s="1166"/>
      <c r="D33" s="1177"/>
      <c r="E33" s="1261" t="s">
        <v>877</v>
      </c>
      <c r="F33" s="1262"/>
      <c r="N33" s="1302" t="s">
        <v>726</v>
      </c>
      <c r="O33" s="1303"/>
      <c r="P33" s="1304"/>
      <c r="Q33" s="1186">
        <f>Q32*S28</f>
        <v>10086</v>
      </c>
      <c r="R33" s="1178"/>
      <c r="S33" s="1179"/>
    </row>
    <row r="34" spans="2:11" ht="14.25" thickBot="1">
      <c r="B34" s="1210">
        <v>0</v>
      </c>
      <c r="C34" s="1222"/>
      <c r="D34" s="1212"/>
      <c r="E34" s="1130">
        <v>0</v>
      </c>
      <c r="F34" s="1131"/>
      <c r="I34" s="1297" t="s">
        <v>1417</v>
      </c>
      <c r="J34" s="1298"/>
      <c r="K34" s="1299"/>
    </row>
    <row r="35" spans="9:11" ht="14.25" thickBot="1">
      <c r="I35" s="14" t="s">
        <v>1410</v>
      </c>
      <c r="J35" s="15"/>
      <c r="K35" s="534">
        <v>0</v>
      </c>
    </row>
    <row r="36" spans="2:7" ht="14.25" thickBot="1">
      <c r="B36" s="1280" t="s">
        <v>88</v>
      </c>
      <c r="C36" s="1281"/>
      <c r="D36" s="1281"/>
      <c r="E36" s="503" t="s">
        <v>257</v>
      </c>
      <c r="F36" s="19" t="s">
        <v>259</v>
      </c>
      <c r="G36" s="504" t="s">
        <v>1085</v>
      </c>
    </row>
    <row r="37" spans="2:11" ht="14.25" thickBot="1">
      <c r="B37" s="1213" t="s">
        <v>90</v>
      </c>
      <c r="C37" s="1214"/>
      <c r="D37" s="1215"/>
      <c r="E37" s="35">
        <v>1.2</v>
      </c>
      <c r="F37" s="507">
        <v>1.5</v>
      </c>
      <c r="G37" s="241">
        <v>0.05</v>
      </c>
      <c r="I37" s="1256" t="s">
        <v>438</v>
      </c>
      <c r="J37" s="1300"/>
      <c r="K37" s="1301"/>
    </row>
    <row r="38" spans="2:11" ht="14.25" thickBot="1">
      <c r="B38" s="1228" t="s">
        <v>86</v>
      </c>
      <c r="C38" s="1284"/>
      <c r="D38" s="516">
        <v>0</v>
      </c>
      <c r="E38" s="506"/>
      <c r="F38" s="505">
        <f>D38/100</f>
        <v>0</v>
      </c>
      <c r="G38" s="511">
        <f>IF(D38=0,0,(5+ROUNDUP(D38/2,0))/100)</f>
        <v>0</v>
      </c>
      <c r="I38" s="1256" t="s">
        <v>440</v>
      </c>
      <c r="J38" s="1257"/>
      <c r="K38" s="1258"/>
    </row>
    <row r="39" spans="1:11" ht="14.25" thickBot="1">
      <c r="A39" s="402" t="b">
        <v>0</v>
      </c>
      <c r="B39" s="1288" t="s">
        <v>87</v>
      </c>
      <c r="C39" s="1289"/>
      <c r="D39" s="512"/>
      <c r="E39" s="506"/>
      <c r="F39" s="505">
        <f>IF(H39="true",0.15,0)</f>
        <v>0</v>
      </c>
      <c r="G39" s="511">
        <f>IF(H39="true",0.1,0)</f>
        <v>0</v>
      </c>
      <c r="H39" s="402" t="str">
        <f>IF(A39=TRUE,"TRUE",IF(D39=1,"TRUE","FLASE"))</f>
        <v>FLASE</v>
      </c>
      <c r="I39" s="771" t="s">
        <v>437</v>
      </c>
      <c r="J39" s="205"/>
      <c r="K39" s="228">
        <v>0</v>
      </c>
    </row>
    <row r="40" spans="2:7" ht="14.25" thickBot="1">
      <c r="B40" s="1285" t="s">
        <v>89</v>
      </c>
      <c r="C40" s="1286"/>
      <c r="D40" s="1287"/>
      <c r="E40" s="513">
        <v>0</v>
      </c>
      <c r="F40" s="514">
        <v>0</v>
      </c>
      <c r="G40" s="515">
        <v>0</v>
      </c>
    </row>
    <row r="41" spans="2:13" ht="14.25" thickBot="1">
      <c r="B41" s="1290" t="s">
        <v>91</v>
      </c>
      <c r="C41" s="1291"/>
      <c r="D41" s="1292"/>
      <c r="E41" s="508">
        <f>E37+E39+E40</f>
        <v>1.2</v>
      </c>
      <c r="F41" s="509">
        <f>F37+MAX(F38,F39)+F40</f>
        <v>1.5</v>
      </c>
      <c r="G41" s="510">
        <f>G37+MAX(G38,G39)+G40</f>
        <v>0.05</v>
      </c>
      <c r="I41" s="1259" t="s">
        <v>128</v>
      </c>
      <c r="J41" s="1260"/>
      <c r="K41" s="791"/>
      <c r="L41" s="402" t="b">
        <v>0</v>
      </c>
      <c r="M41" s="486" t="str">
        <f>IF(L41=TRUE,"TRUE",IF(K41=1,"TRUE","FLASE"))</f>
        <v>FLASE</v>
      </c>
    </row>
    <row r="42" spans="2:11" ht="14.25" thickBot="1">
      <c r="B42" s="1216" t="s">
        <v>331</v>
      </c>
      <c r="C42" s="1199"/>
      <c r="D42" s="1200"/>
      <c r="E42" s="1253">
        <f>(($E$41+$F$41)/2-1)*$G$41+1</f>
        <v>1.0175</v>
      </c>
      <c r="F42" s="1254"/>
      <c r="G42" s="1255"/>
      <c r="I42" s="590" t="s">
        <v>1119</v>
      </c>
      <c r="J42" s="788"/>
      <c r="K42" s="789">
        <v>0</v>
      </c>
    </row>
    <row r="43" spans="9:13" ht="14.25" thickBot="1">
      <c r="I43" s="1251" t="s">
        <v>854</v>
      </c>
      <c r="J43" s="1252"/>
      <c r="K43" s="790">
        <f>IF(M41="true",IF(K42&gt;0,10+ROUNDUP(K42/3,0),10)/100,0)</f>
        <v>0</v>
      </c>
      <c r="L43" s="323"/>
      <c r="M43" s="323"/>
    </row>
    <row r="44" ht="14.25" thickBot="1"/>
    <row r="45" spans="2:11" ht="14.25" thickBot="1">
      <c r="B45" s="1282" t="s">
        <v>735</v>
      </c>
      <c r="C45" s="1283"/>
      <c r="D45" s="533">
        <v>125</v>
      </c>
      <c r="E45" s="1249" t="s">
        <v>736</v>
      </c>
      <c r="F45" s="1250"/>
      <c r="G45" s="25">
        <f>IF(D2&gt;D45,0,$D$45-$D$2)</f>
        <v>0</v>
      </c>
      <c r="I45" s="1137" t="s">
        <v>159</v>
      </c>
      <c r="J45" s="1138"/>
      <c r="K45" s="1139"/>
    </row>
    <row r="46" spans="2:13" ht="13.5">
      <c r="B46" s="1242" t="s">
        <v>769</v>
      </c>
      <c r="C46" s="1243"/>
      <c r="D46" s="9">
        <v>150</v>
      </c>
      <c r="E46" s="1242" t="s">
        <v>771</v>
      </c>
      <c r="F46" s="1243"/>
      <c r="G46" s="615">
        <f>IF(G45&gt;0,"-",D46)</f>
        <v>150</v>
      </c>
      <c r="I46" s="416" t="s">
        <v>160</v>
      </c>
      <c r="J46" s="539"/>
      <c r="K46" s="204">
        <v>0</v>
      </c>
      <c r="L46" s="323"/>
      <c r="M46" s="323"/>
    </row>
    <row r="47" spans="2:11" ht="14.25" thickBot="1">
      <c r="B47" s="1293" t="s">
        <v>734</v>
      </c>
      <c r="C47" s="1294"/>
      <c r="D47" s="9">
        <v>0</v>
      </c>
      <c r="E47" s="1242" t="s">
        <v>770</v>
      </c>
      <c r="F47" s="1243"/>
      <c r="G47" s="511">
        <f>MAX((MIN(100+SQRT($K$29)-SQRT($D$46),100)-2*G45)/100,0)</f>
        <v>1</v>
      </c>
      <c r="I47" s="417" t="s">
        <v>891</v>
      </c>
      <c r="J47" s="540"/>
      <c r="K47" s="418">
        <f>IF(K46&gt;0,(K46+10)/100,0)</f>
        <v>0</v>
      </c>
    </row>
    <row r="48" spans="2:7" ht="14.25" thickBot="1">
      <c r="B48" s="1278" t="s">
        <v>979</v>
      </c>
      <c r="C48" s="1279"/>
      <c r="D48" s="534">
        <v>0.25</v>
      </c>
      <c r="E48" s="1197" t="s">
        <v>980</v>
      </c>
      <c r="F48" s="1198"/>
      <c r="G48" s="28">
        <f>1-(D48-ROUNDUP(D48*(K47+B32+D26),2))</f>
        <v>0.85</v>
      </c>
    </row>
    <row r="49" spans="4:13" ht="14.25" thickBot="1">
      <c r="D49" s="402">
        <f>$D$47*(1-($D$26+$K$47+$B$32))</f>
        <v>0</v>
      </c>
      <c r="G49" s="502"/>
      <c r="I49" s="1246" t="s">
        <v>79</v>
      </c>
      <c r="J49" s="1247"/>
      <c r="K49" s="1248"/>
      <c r="L49" s="323"/>
      <c r="M49" s="162"/>
    </row>
    <row r="50" spans="2:13" ht="13.5">
      <c r="B50" s="1153" t="s">
        <v>1084</v>
      </c>
      <c r="C50" s="1133"/>
      <c r="D50" s="1129"/>
      <c r="I50" s="1127" t="s">
        <v>988</v>
      </c>
      <c r="J50" s="1217"/>
      <c r="K50" s="468"/>
      <c r="L50" s="486" t="b">
        <v>0</v>
      </c>
      <c r="M50" s="486" t="str">
        <f>IF(L50=TRUE,"TRUE",IF(K50=1,"TRUE","FLASE"))</f>
        <v>FLASE</v>
      </c>
    </row>
    <row r="51" spans="2:13" ht="14.25" thickBot="1">
      <c r="B51" s="1187" t="s">
        <v>877</v>
      </c>
      <c r="C51" s="1188"/>
      <c r="D51" s="1189"/>
      <c r="I51" s="1244" t="s">
        <v>989</v>
      </c>
      <c r="J51" s="1245"/>
      <c r="K51" s="469"/>
      <c r="L51" s="486" t="b">
        <v>0</v>
      </c>
      <c r="M51" s="486" t="str">
        <f>IF(L51=TRUE,"TRUE",IF(K51=1,"TRUE","FLASE"))</f>
        <v>FLASE</v>
      </c>
    </row>
    <row r="52" spans="2:13" ht="14.25" thickBot="1">
      <c r="B52" s="1194">
        <v>0</v>
      </c>
      <c r="C52" s="1195"/>
      <c r="D52" s="1196"/>
      <c r="I52" s="1240" t="s">
        <v>854</v>
      </c>
      <c r="J52" s="1241"/>
      <c r="K52" s="206">
        <f>IF(M50="TRUE",1.04,IF(M51="TRUE",1.02,1))</f>
        <v>1</v>
      </c>
      <c r="L52" s="333"/>
      <c r="M52" s="333"/>
    </row>
    <row r="53" ht="14.25" thickBot="1"/>
    <row r="54" spans="2:12" ht="14.25" thickBot="1">
      <c r="B54" s="1201" t="s">
        <v>265</v>
      </c>
      <c r="C54" s="1202"/>
      <c r="D54" s="1202"/>
      <c r="E54" s="1202"/>
      <c r="F54" s="1202"/>
      <c r="G54" s="1202"/>
      <c r="H54" s="1202"/>
      <c r="I54" s="1202"/>
      <c r="J54" s="1202"/>
      <c r="K54" s="1202"/>
      <c r="L54" s="1203"/>
    </row>
    <row r="55" spans="2:12" ht="13.5">
      <c r="B55" s="1191" t="s">
        <v>266</v>
      </c>
      <c r="C55" s="1192"/>
      <c r="D55" s="1192"/>
      <c r="E55" s="1192"/>
      <c r="F55" s="1192"/>
      <c r="G55" s="1192"/>
      <c r="H55" s="1192"/>
      <c r="I55" s="1192"/>
      <c r="J55" s="1192"/>
      <c r="K55" s="1192"/>
      <c r="L55" s="1193"/>
    </row>
    <row r="56" spans="2:12" ht="13.5">
      <c r="B56" s="1207" t="s">
        <v>588</v>
      </c>
      <c r="C56" s="1208"/>
      <c r="D56" s="1208"/>
      <c r="E56" s="1208"/>
      <c r="F56" s="1208"/>
      <c r="G56" s="1208"/>
      <c r="H56" s="1208"/>
      <c r="I56" s="1208"/>
      <c r="J56" s="1208"/>
      <c r="K56" s="1208"/>
      <c r="L56" s="1209"/>
    </row>
    <row r="57" spans="2:12" ht="14.25" thickBot="1">
      <c r="B57" s="1204" t="s">
        <v>705</v>
      </c>
      <c r="C57" s="1205"/>
      <c r="D57" s="1205"/>
      <c r="E57" s="1205"/>
      <c r="F57" s="1205"/>
      <c r="G57" s="1205"/>
      <c r="H57" s="1205"/>
      <c r="I57" s="1205"/>
      <c r="J57" s="1205"/>
      <c r="K57" s="1205"/>
      <c r="L57" s="1206"/>
    </row>
    <row r="58" ht="14.25" thickBot="1"/>
    <row r="59" spans="2:12" ht="14.25" thickBot="1">
      <c r="B59" s="1201" t="s">
        <v>701</v>
      </c>
      <c r="C59" s="1202"/>
      <c r="D59" s="1202"/>
      <c r="E59" s="1202"/>
      <c r="F59" s="1202"/>
      <c r="G59" s="1202"/>
      <c r="H59" s="1202"/>
      <c r="I59" s="1202"/>
      <c r="J59" s="1202"/>
      <c r="K59" s="1202"/>
      <c r="L59" s="1203"/>
    </row>
    <row r="60" spans="2:12" ht="13.5">
      <c r="B60" s="1268" t="s">
        <v>821</v>
      </c>
      <c r="C60" s="1269"/>
      <c r="D60" s="1270"/>
      <c r="E60" s="1270"/>
      <c r="F60" s="1270"/>
      <c r="G60" s="1270"/>
      <c r="H60" s="1270"/>
      <c r="I60" s="1270"/>
      <c r="J60" s="1270"/>
      <c r="K60" s="1271"/>
      <c r="L60" s="1272"/>
    </row>
    <row r="61" spans="2:12" ht="13.5">
      <c r="B61" s="1273" t="s">
        <v>1</v>
      </c>
      <c r="C61" s="1274"/>
      <c r="D61" s="1275"/>
      <c r="E61" s="1275"/>
      <c r="F61" s="1275"/>
      <c r="G61" s="1275"/>
      <c r="H61" s="1275"/>
      <c r="I61" s="1275"/>
      <c r="J61" s="1275"/>
      <c r="K61" s="1276"/>
      <c r="L61" s="1277"/>
    </row>
    <row r="62" spans="2:12" ht="13.5">
      <c r="B62" s="1273" t="s">
        <v>2</v>
      </c>
      <c r="C62" s="1274"/>
      <c r="D62" s="1275"/>
      <c r="E62" s="1275"/>
      <c r="F62" s="1275"/>
      <c r="G62" s="1275"/>
      <c r="H62" s="1275"/>
      <c r="I62" s="1275"/>
      <c r="J62" s="1275"/>
      <c r="K62" s="1276"/>
      <c r="L62" s="1277"/>
    </row>
    <row r="63" spans="2:12" ht="13.5">
      <c r="B63" s="1273" t="s">
        <v>702</v>
      </c>
      <c r="C63" s="1274"/>
      <c r="D63" s="1275"/>
      <c r="E63" s="1275"/>
      <c r="F63" s="1275"/>
      <c r="G63" s="1275"/>
      <c r="H63" s="1275"/>
      <c r="I63" s="1275"/>
      <c r="J63" s="1275"/>
      <c r="K63" s="1276"/>
      <c r="L63" s="1277"/>
    </row>
    <row r="64" spans="2:12" ht="14.25" thickBot="1">
      <c r="B64" s="1263" t="s">
        <v>703</v>
      </c>
      <c r="C64" s="1264"/>
      <c r="D64" s="1265"/>
      <c r="E64" s="1265"/>
      <c r="F64" s="1265"/>
      <c r="G64" s="1265"/>
      <c r="H64" s="1265"/>
      <c r="I64" s="1265"/>
      <c r="J64" s="1265"/>
      <c r="K64" s="1266"/>
      <c r="L64" s="1267"/>
    </row>
    <row r="65" ht="13.5">
      <c r="V65" s="13"/>
    </row>
    <row r="68" ht="13.5">
      <c r="V68" s="21"/>
    </row>
    <row r="69" ht="13.5">
      <c r="V69" s="21"/>
    </row>
    <row r="71" spans="22:26" ht="13.5">
      <c r="V71" s="59"/>
      <c r="W71" s="59"/>
      <c r="X71" s="59"/>
      <c r="Y71" s="59"/>
      <c r="Z71" s="59"/>
    </row>
    <row r="72" spans="25:26" ht="13.5">
      <c r="Y72" s="59"/>
      <c r="Z72" s="59"/>
    </row>
    <row r="73" spans="22:26" ht="13.5">
      <c r="V73" s="67"/>
      <c r="W73" s="67"/>
      <c r="X73" s="67"/>
      <c r="Y73" s="67"/>
      <c r="Z73" s="67"/>
    </row>
    <row r="74" spans="22:26" ht="13.5">
      <c r="V74" s="57"/>
      <c r="W74" s="57"/>
      <c r="X74" s="57"/>
      <c r="Y74" s="57"/>
      <c r="Z74" s="57"/>
    </row>
    <row r="75" spans="22:26" ht="13.5">
      <c r="V75" s="59"/>
      <c r="W75" s="59"/>
      <c r="X75" s="59"/>
      <c r="Y75" s="59"/>
      <c r="Z75" s="59"/>
    </row>
    <row r="76" spans="22:26" ht="13.5">
      <c r="V76" s="59"/>
      <c r="W76" s="59"/>
      <c r="X76" s="59"/>
      <c r="Y76" s="59"/>
      <c r="Z76" s="59"/>
    </row>
    <row r="77" spans="22:26" ht="13.5">
      <c r="V77" s="59"/>
      <c r="W77" s="59"/>
      <c r="X77" s="59"/>
      <c r="Y77" s="59"/>
      <c r="Z77" s="59"/>
    </row>
    <row r="92" spans="22:26" ht="13.5">
      <c r="V92" s="492"/>
      <c r="W92" s="492"/>
      <c r="X92" s="492"/>
      <c r="Y92" s="492"/>
      <c r="Z92" s="492"/>
    </row>
    <row r="93" spans="22:26" ht="13.5">
      <c r="V93" s="289"/>
      <c r="W93" s="289"/>
      <c r="X93" s="289"/>
      <c r="Y93" s="289"/>
      <c r="Z93" s="289"/>
    </row>
    <row r="94" spans="22:26" ht="13.5">
      <c r="V94" s="289"/>
      <c r="W94" s="289"/>
      <c r="X94" s="289"/>
      <c r="Y94" s="289"/>
      <c r="Z94" s="289"/>
    </row>
    <row r="95" spans="22:26" ht="13.5">
      <c r="V95" s="309"/>
      <c r="W95" s="309"/>
      <c r="X95" s="309"/>
      <c r="Y95" s="309"/>
      <c r="Z95" s="309"/>
    </row>
    <row r="96" spans="22:26" ht="13.5">
      <c r="V96" s="57"/>
      <c r="W96" s="57"/>
      <c r="X96" s="21"/>
      <c r="Y96" s="21"/>
      <c r="Z96" s="21"/>
    </row>
    <row r="97" spans="22:26" ht="13.5">
      <c r="V97" s="57"/>
      <c r="W97" s="57"/>
      <c r="X97" s="21"/>
      <c r="Y97" s="21"/>
      <c r="Z97" s="21"/>
    </row>
    <row r="98" spans="22:26" ht="13.5">
      <c r="V98" s="57"/>
      <c r="W98" s="57"/>
      <c r="X98" s="21"/>
      <c r="Y98" s="21"/>
      <c r="Z98" s="21"/>
    </row>
    <row r="99" spans="22:26" ht="13.5">
      <c r="V99" s="57"/>
      <c r="W99" s="57"/>
      <c r="X99" s="21"/>
      <c r="Y99" s="21"/>
      <c r="Z99" s="21"/>
    </row>
    <row r="100" spans="22:26" ht="13.5">
      <c r="V100" s="57"/>
      <c r="W100" s="57"/>
      <c r="X100" s="21"/>
      <c r="Y100" s="21"/>
      <c r="Z100" s="21"/>
    </row>
    <row r="101" spans="22:26" ht="13.5">
      <c r="V101" s="57"/>
      <c r="W101" s="57"/>
      <c r="X101" s="21"/>
      <c r="Y101" s="21"/>
      <c r="Z101" s="21"/>
    </row>
    <row r="102" spans="22:26" ht="13.5">
      <c r="V102" s="57"/>
      <c r="W102" s="57"/>
      <c r="X102" s="21"/>
      <c r="Y102" s="21"/>
      <c r="Z102" s="21"/>
    </row>
    <row r="103" spans="22:26" ht="13.5">
      <c r="V103" s="57"/>
      <c r="W103" s="57"/>
      <c r="X103" s="21"/>
      <c r="Y103" s="21"/>
      <c r="Z103" s="21"/>
    </row>
    <row r="104" spans="22:26" ht="13.5">
      <c r="V104" s="57"/>
      <c r="W104" s="57"/>
      <c r="X104" s="21"/>
      <c r="Y104" s="21"/>
      <c r="Z104" s="21"/>
    </row>
    <row r="105" spans="22:26" ht="13.5">
      <c r="V105" s="57"/>
      <c r="W105" s="57"/>
      <c r="X105" s="21"/>
      <c r="Y105" s="21"/>
      <c r="Z105" s="21"/>
    </row>
    <row r="106" spans="22:26" ht="13.5">
      <c r="V106" s="57"/>
      <c r="W106" s="57"/>
      <c r="X106" s="21"/>
      <c r="Y106" s="21"/>
      <c r="Z106" s="21"/>
    </row>
  </sheetData>
  <sheetProtection/>
  <protectedRanges>
    <protectedRange sqref="B4:C4 F27 D2 D27 D5:D7 D45:D46 K27 D48 F3:K26" name="範囲1"/>
  </protectedRanges>
  <mergeCells count="87">
    <mergeCell ref="Q29:Q30"/>
    <mergeCell ref="Q33:S33"/>
    <mergeCell ref="I34:K34"/>
    <mergeCell ref="I37:K37"/>
    <mergeCell ref="N33:P33"/>
    <mergeCell ref="B30:K30"/>
    <mergeCell ref="E31:F31"/>
    <mergeCell ref="B48:C48"/>
    <mergeCell ref="B36:D36"/>
    <mergeCell ref="B45:C45"/>
    <mergeCell ref="B38:C38"/>
    <mergeCell ref="B40:D40"/>
    <mergeCell ref="B39:C39"/>
    <mergeCell ref="B41:D41"/>
    <mergeCell ref="B47:C47"/>
    <mergeCell ref="B46:C46"/>
    <mergeCell ref="B64:L64"/>
    <mergeCell ref="B59:L59"/>
    <mergeCell ref="B60:L60"/>
    <mergeCell ref="B61:L61"/>
    <mergeCell ref="B62:L62"/>
    <mergeCell ref="B63:L63"/>
    <mergeCell ref="E45:F45"/>
    <mergeCell ref="I43:J43"/>
    <mergeCell ref="E32:F32"/>
    <mergeCell ref="E42:G42"/>
    <mergeCell ref="I38:K38"/>
    <mergeCell ref="I41:J41"/>
    <mergeCell ref="E33:F33"/>
    <mergeCell ref="I52:J52"/>
    <mergeCell ref="E47:F47"/>
    <mergeCell ref="E46:F46"/>
    <mergeCell ref="I51:J51"/>
    <mergeCell ref="I49:K49"/>
    <mergeCell ref="F1:P1"/>
    <mergeCell ref="N2:P2"/>
    <mergeCell ref="N29:N31"/>
    <mergeCell ref="N32:P32"/>
    <mergeCell ref="N8:N10"/>
    <mergeCell ref="N21:S21"/>
    <mergeCell ref="N17:N19"/>
    <mergeCell ref="N11:N13"/>
    <mergeCell ref="Q17:Q19"/>
    <mergeCell ref="N27:Q27"/>
    <mergeCell ref="B8:C8"/>
    <mergeCell ref="D24:D25"/>
    <mergeCell ref="I45:K45"/>
    <mergeCell ref="B50:D50"/>
    <mergeCell ref="E34:F34"/>
    <mergeCell ref="B27:C27"/>
    <mergeCell ref="I50:J50"/>
    <mergeCell ref="B31:D31"/>
    <mergeCell ref="B33:D33"/>
    <mergeCell ref="B34:D34"/>
    <mergeCell ref="B2:C2"/>
    <mergeCell ref="B7:C7"/>
    <mergeCell ref="N6:S6"/>
    <mergeCell ref="B4:D4"/>
    <mergeCell ref="N7:O7"/>
    <mergeCell ref="R2:T2"/>
    <mergeCell ref="Q7:R7"/>
    <mergeCell ref="Q13:R13"/>
    <mergeCell ref="T8:T10"/>
    <mergeCell ref="N23:N25"/>
    <mergeCell ref="N15:S15"/>
    <mergeCell ref="T17:T19"/>
    <mergeCell ref="T23:T25"/>
    <mergeCell ref="W6:Z6"/>
    <mergeCell ref="Q32:S32"/>
    <mergeCell ref="N28:O28"/>
    <mergeCell ref="Q28:R28"/>
    <mergeCell ref="W7:X7"/>
    <mergeCell ref="U8:U10"/>
    <mergeCell ref="S11:U13"/>
    <mergeCell ref="Y8:Z8"/>
    <mergeCell ref="U23:U25"/>
    <mergeCell ref="U17:U19"/>
    <mergeCell ref="B57:L57"/>
    <mergeCell ref="B56:L56"/>
    <mergeCell ref="B32:D32"/>
    <mergeCell ref="B37:D37"/>
    <mergeCell ref="B42:D42"/>
    <mergeCell ref="B54:L54"/>
    <mergeCell ref="B55:L55"/>
    <mergeCell ref="B52:D52"/>
    <mergeCell ref="E48:F48"/>
    <mergeCell ref="B51:D51"/>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0.xml><?xml version="1.0" encoding="utf-8"?>
<worksheet xmlns="http://schemas.openxmlformats.org/spreadsheetml/2006/main" xmlns:r="http://schemas.openxmlformats.org/officeDocument/2006/relationships">
  <dimension ref="A1:Z63"/>
  <sheetViews>
    <sheetView workbookViewId="0" topLeftCell="A1">
      <selection activeCell="T37" sqref="T37:T39"/>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223" t="s">
        <v>536</v>
      </c>
      <c r="G1" s="1223"/>
      <c r="H1" s="1223"/>
      <c r="I1" s="1223"/>
      <c r="J1" s="1223"/>
      <c r="K1" s="1223"/>
      <c r="L1" s="1223"/>
      <c r="M1" s="1223"/>
      <c r="N1" s="1223"/>
      <c r="O1" s="1223"/>
      <c r="P1" s="1223"/>
    </row>
    <row r="2" spans="2:24" ht="14.25" thickBot="1">
      <c r="B2" s="1153" t="s">
        <v>532</v>
      </c>
      <c r="C2" s="1154"/>
      <c r="D2" s="2">
        <v>150</v>
      </c>
      <c r="E2" s="1"/>
      <c r="F2" s="3" t="s">
        <v>527</v>
      </c>
      <c r="G2" s="3" t="s">
        <v>507</v>
      </c>
      <c r="H2" s="3" t="s">
        <v>508</v>
      </c>
      <c r="I2" s="3" t="s">
        <v>510</v>
      </c>
      <c r="J2" s="3" t="s">
        <v>509</v>
      </c>
      <c r="K2" s="4" t="s">
        <v>749</v>
      </c>
      <c r="N2" s="1224" t="s">
        <v>301</v>
      </c>
      <c r="O2" s="1225"/>
      <c r="P2" s="1226"/>
      <c r="Q2" s="57"/>
      <c r="R2" s="1224" t="s">
        <v>737</v>
      </c>
      <c r="S2" s="1225"/>
      <c r="T2" s="1226"/>
      <c r="W2" s="402" t="b">
        <v>0</v>
      </c>
      <c r="X2" s="486" t="str">
        <f>IF(W2=TRUE,"TRUE",IF(W3=1,"TRUE","FLASE"))</f>
        <v>FLASE</v>
      </c>
    </row>
    <row r="3" spans="2:26" ht="14.25" thickBot="1">
      <c r="B3" s="5" t="s">
        <v>241</v>
      </c>
      <c r="C3" s="536"/>
      <c r="D3" s="6">
        <f>((D2-1)*5+IF(D2&gt;=120,35,IF(D2&gt;=70,30,25)))-(G3+H3+J3+I3)</f>
        <v>0</v>
      </c>
      <c r="E3" s="7" t="s">
        <v>242</v>
      </c>
      <c r="F3" s="8"/>
      <c r="G3" s="8">
        <v>4</v>
      </c>
      <c r="H3" s="8">
        <v>4</v>
      </c>
      <c r="I3" s="8">
        <v>768</v>
      </c>
      <c r="J3" s="8">
        <v>4</v>
      </c>
      <c r="K3" s="9"/>
      <c r="N3" s="10" t="s">
        <v>270</v>
      </c>
      <c r="O3" s="11" t="s">
        <v>271</v>
      </c>
      <c r="P3" s="12" t="s">
        <v>272</v>
      </c>
      <c r="R3" s="10" t="s">
        <v>1288</v>
      </c>
      <c r="S3" s="11" t="s">
        <v>1289</v>
      </c>
      <c r="T3" s="12" t="s">
        <v>1290</v>
      </c>
      <c r="W3" s="891"/>
      <c r="X3" s="1696" t="s">
        <v>142</v>
      </c>
      <c r="Y3" s="1697"/>
      <c r="Z3" s="1698"/>
    </row>
    <row r="4" spans="2:26" ht="14.25" thickBot="1">
      <c r="B4" s="472" t="s">
        <v>518</v>
      </c>
      <c r="C4" s="541"/>
      <c r="D4" s="602" t="s">
        <v>1320</v>
      </c>
      <c r="E4" s="7" t="s">
        <v>243</v>
      </c>
      <c r="F4" s="8">
        <v>155</v>
      </c>
      <c r="G4" s="8"/>
      <c r="H4" s="8"/>
      <c r="I4" s="8">
        <v>7</v>
      </c>
      <c r="J4" s="8"/>
      <c r="K4" s="9"/>
      <c r="N4" s="14">
        <f>P4*(0.25+0.5)</f>
        <v>8127.967500000001</v>
      </c>
      <c r="O4" s="15">
        <f>(P4+N4)/2</f>
        <v>9482.62875</v>
      </c>
      <c r="P4" s="16">
        <f>$Q$4*($F$29+INT(($F$29*($E$32+$K$52+$K$43-1))))/100</f>
        <v>10837.29</v>
      </c>
      <c r="Q4" s="402">
        <f>1*(4*$I$29+$J$29)</f>
        <v>3999</v>
      </c>
      <c r="R4" s="14">
        <f>N4*$G$48*(1-$G$45/100)</f>
        <v>6095.975625000001</v>
      </c>
      <c r="S4" s="15">
        <f>O4*$G$48*(1-$G$45/100)</f>
        <v>7111.9715625</v>
      </c>
      <c r="T4" s="16">
        <f>P4*$G$48*(1-$G$45/100)</f>
        <v>8127.967500000001</v>
      </c>
      <c r="W4" s="151" t="s">
        <v>138</v>
      </c>
      <c r="X4" s="3" t="s">
        <v>660</v>
      </c>
      <c r="Y4" s="690" t="s">
        <v>140</v>
      </c>
      <c r="Z4" s="4" t="s">
        <v>141</v>
      </c>
    </row>
    <row r="5" spans="2:26" ht="14.25" thickBot="1">
      <c r="B5" s="1" t="s">
        <v>537</v>
      </c>
      <c r="C5" s="3"/>
      <c r="D5" s="137">
        <v>30</v>
      </c>
      <c r="E5" s="42" t="s">
        <v>245</v>
      </c>
      <c r="F5" s="8">
        <v>18</v>
      </c>
      <c r="G5" s="8"/>
      <c r="H5" s="8"/>
      <c r="I5" s="8">
        <v>9</v>
      </c>
      <c r="J5" s="8"/>
      <c r="K5" s="9"/>
      <c r="N5" s="460">
        <f>IF(D4="氷",1.25,IF(D4="雷",1.1,1))</f>
        <v>1</v>
      </c>
      <c r="O5" s="460">
        <f>IF(D4="雷",1.25,IF(D4="氷",1.1,1))</f>
        <v>1</v>
      </c>
      <c r="P5" s="460"/>
      <c r="W5" s="5">
        <f>60/T19</f>
        <v>0.7228915662650602</v>
      </c>
      <c r="X5" s="68">
        <f>60/R20</f>
        <v>6</v>
      </c>
      <c r="Y5" s="68">
        <f>U21+(U20*R20)</f>
        <v>151787</v>
      </c>
      <c r="Z5" s="56">
        <f>Y5*X5</f>
        <v>910722</v>
      </c>
    </row>
    <row r="6" spans="2:26" ht="14.25" thickBot="1">
      <c r="B6" s="7" t="s">
        <v>534</v>
      </c>
      <c r="C6" s="43"/>
      <c r="D6" s="9">
        <v>30</v>
      </c>
      <c r="E6" s="42" t="s">
        <v>246</v>
      </c>
      <c r="F6" s="8"/>
      <c r="G6" s="8">
        <v>10</v>
      </c>
      <c r="H6" s="8">
        <v>10</v>
      </c>
      <c r="I6" s="8">
        <v>20</v>
      </c>
      <c r="J6" s="8">
        <v>10</v>
      </c>
      <c r="K6" s="9"/>
      <c r="N6" s="1158" t="s">
        <v>661</v>
      </c>
      <c r="O6" s="1159"/>
      <c r="P6" s="1159"/>
      <c r="Q6" s="1159"/>
      <c r="R6" s="1159"/>
      <c r="S6" s="1159"/>
      <c r="T6" s="1159"/>
      <c r="U6" s="1160"/>
      <c r="W6" s="1153" t="s">
        <v>143</v>
      </c>
      <c r="X6" s="1129"/>
      <c r="Y6" s="1153" t="s">
        <v>665</v>
      </c>
      <c r="Z6" s="1129"/>
    </row>
    <row r="7" spans="2:26" ht="14.25" thickBot="1">
      <c r="B7" s="7" t="s">
        <v>541</v>
      </c>
      <c r="C7" s="43"/>
      <c r="D7" s="9">
        <v>30</v>
      </c>
      <c r="E7" s="42" t="s">
        <v>247</v>
      </c>
      <c r="F7" s="8">
        <v>5</v>
      </c>
      <c r="G7" s="8"/>
      <c r="H7" s="8"/>
      <c r="I7" s="8"/>
      <c r="J7" s="8"/>
      <c r="K7" s="9"/>
      <c r="N7" s="1675" t="s">
        <v>765</v>
      </c>
      <c r="O7" s="1676"/>
      <c r="P7" s="4">
        <v>180</v>
      </c>
      <c r="Q7" s="1" t="s">
        <v>877</v>
      </c>
      <c r="R7" s="3"/>
      <c r="S7" s="490">
        <f>INT(D10/3)/100</f>
        <v>0.1</v>
      </c>
      <c r="T7" s="1305" t="s">
        <v>285</v>
      </c>
      <c r="U7" s="1307"/>
      <c r="W7" s="7" t="s">
        <v>144</v>
      </c>
      <c r="X7" s="892" t="s">
        <v>139</v>
      </c>
      <c r="Y7" s="7" t="s">
        <v>144</v>
      </c>
      <c r="Z7" s="892" t="s">
        <v>139</v>
      </c>
    </row>
    <row r="8" spans="2:26" ht="14.25" thickBot="1">
      <c r="B8" s="7" t="s">
        <v>774</v>
      </c>
      <c r="C8" s="43"/>
      <c r="D8" s="9">
        <v>30</v>
      </c>
      <c r="E8" s="42" t="s">
        <v>248</v>
      </c>
      <c r="F8" s="8">
        <v>2</v>
      </c>
      <c r="G8" s="8"/>
      <c r="H8" s="8"/>
      <c r="I8" s="8"/>
      <c r="J8" s="8"/>
      <c r="K8" s="9"/>
      <c r="N8" s="1415" t="s">
        <v>872</v>
      </c>
      <c r="O8" s="1416"/>
      <c r="P8" s="41">
        <f>IF(D10=0,0,(10+D10)*(1+D24*0.05))</f>
        <v>60</v>
      </c>
      <c r="Q8" s="7" t="s">
        <v>282</v>
      </c>
      <c r="R8" s="43"/>
      <c r="S8" s="511">
        <f>S7*P9</f>
        <v>1.4000000000000001</v>
      </c>
      <c r="T8" s="1671">
        <f>(P8/P7)*S9</f>
        <v>0.23333333333333334</v>
      </c>
      <c r="U8" s="1672"/>
      <c r="W8" s="14">
        <f>W9*X5</f>
        <v>6.289156626506024</v>
      </c>
      <c r="X8" s="220">
        <f>INT(U13*W8)</f>
        <v>915304</v>
      </c>
      <c r="Y8" s="14">
        <f>Y9*X5</f>
        <v>2.313253012048193</v>
      </c>
      <c r="Z8" s="16">
        <f>INT(Y8*U28)</f>
        <v>109224</v>
      </c>
    </row>
    <row r="9" spans="2:25" ht="14.25" thickBot="1">
      <c r="B9" s="14" t="s">
        <v>294</v>
      </c>
      <c r="C9" s="15"/>
      <c r="D9" s="228">
        <v>30</v>
      </c>
      <c r="E9" s="42" t="s">
        <v>249</v>
      </c>
      <c r="F9" s="8"/>
      <c r="G9" s="8">
        <v>7</v>
      </c>
      <c r="H9" s="8">
        <v>7</v>
      </c>
      <c r="I9" s="8">
        <v>7</v>
      </c>
      <c r="J9" s="8">
        <v>7</v>
      </c>
      <c r="K9" s="9"/>
      <c r="N9" s="1505" t="s">
        <v>283</v>
      </c>
      <c r="O9" s="1506"/>
      <c r="P9" s="16">
        <f>MAX(INT(P8/4)-1,0)</f>
        <v>14</v>
      </c>
      <c r="Q9" s="14" t="s">
        <v>284</v>
      </c>
      <c r="R9" s="15"/>
      <c r="S9" s="28">
        <f>S8/2</f>
        <v>0.7000000000000001</v>
      </c>
      <c r="T9" s="1673"/>
      <c r="U9" s="1674"/>
      <c r="W9" s="402">
        <f>W5/(60/T12)</f>
        <v>1.0481927710843373</v>
      </c>
      <c r="Y9" s="402">
        <f>W5/(60/U27)</f>
        <v>0.3855421686746988</v>
      </c>
    </row>
    <row r="10" spans="1:20" ht="14.25" thickBot="1">
      <c r="A10" s="402" t="b">
        <v>1</v>
      </c>
      <c r="B10" s="36" t="s">
        <v>293</v>
      </c>
      <c r="C10" s="605"/>
      <c r="D10" s="137">
        <v>30</v>
      </c>
      <c r="E10" s="42" t="s">
        <v>250</v>
      </c>
      <c r="F10" s="8">
        <v>16</v>
      </c>
      <c r="G10" s="8"/>
      <c r="H10" s="8"/>
      <c r="I10" s="8">
        <v>9</v>
      </c>
      <c r="J10" s="8"/>
      <c r="K10" s="9">
        <v>1</v>
      </c>
      <c r="T10" s="402">
        <f>IF(A11="true",1+T8,1)</f>
        <v>1.2333333333333334</v>
      </c>
    </row>
    <row r="11" spans="1:21" ht="14.25" thickBot="1">
      <c r="A11" s="402" t="str">
        <f>IF(A10=TRUE,"TRUE",IF(D11=1,"TRUE","FLASE"))</f>
        <v>TRUE</v>
      </c>
      <c r="B11" s="5" t="s">
        <v>1099</v>
      </c>
      <c r="C11" s="68"/>
      <c r="D11" s="592"/>
      <c r="E11" s="42" t="s">
        <v>698</v>
      </c>
      <c r="F11" s="8"/>
      <c r="G11" s="8"/>
      <c r="H11" s="8"/>
      <c r="I11" s="8">
        <v>22</v>
      </c>
      <c r="J11" s="8"/>
      <c r="K11" s="9"/>
      <c r="N11" s="1158" t="s">
        <v>62</v>
      </c>
      <c r="O11" s="1159"/>
      <c r="P11" s="1159"/>
      <c r="Q11" s="1159"/>
      <c r="R11" s="1159"/>
      <c r="S11" s="1159"/>
      <c r="T11" s="1159"/>
      <c r="U11" s="686" t="s">
        <v>65</v>
      </c>
    </row>
    <row r="12" spans="2:26" ht="14.25" thickBot="1">
      <c r="B12" s="218"/>
      <c r="C12" s="397"/>
      <c r="D12" s="219"/>
      <c r="E12" s="42" t="s">
        <v>587</v>
      </c>
      <c r="F12" s="8"/>
      <c r="G12" s="8"/>
      <c r="H12" s="8"/>
      <c r="I12" s="8"/>
      <c r="J12" s="8"/>
      <c r="K12" s="9"/>
      <c r="N12" s="142" t="s">
        <v>519</v>
      </c>
      <c r="O12" s="65">
        <f>D5</f>
        <v>30</v>
      </c>
      <c r="P12" s="142" t="s">
        <v>301</v>
      </c>
      <c r="Q12" s="601">
        <f>(700+5*O12)/100</f>
        <v>8.5</v>
      </c>
      <c r="R12" s="1668" t="s">
        <v>415</v>
      </c>
      <c r="S12" s="1669"/>
      <c r="T12" s="165">
        <v>87</v>
      </c>
      <c r="U12" s="687">
        <f>ROUNDUP(O12/2,0)/100</f>
        <v>0.15</v>
      </c>
      <c r="W12" s="21"/>
      <c r="X12" s="21"/>
      <c r="Y12" s="21"/>
      <c r="Z12" s="21"/>
    </row>
    <row r="13" spans="2:26" ht="13.5">
      <c r="B13" s="22"/>
      <c r="C13" s="21"/>
      <c r="D13" s="138"/>
      <c r="E13" s="42" t="s">
        <v>697</v>
      </c>
      <c r="F13" s="8"/>
      <c r="G13" s="8"/>
      <c r="H13" s="8"/>
      <c r="I13" s="8"/>
      <c r="J13" s="8"/>
      <c r="K13" s="9"/>
      <c r="N13" s="1227" t="str">
        <f>IF($L$21="true","雷弱点","通常")</f>
        <v>雷弱点</v>
      </c>
      <c r="O13" s="76" t="s">
        <v>257</v>
      </c>
      <c r="P13" s="521">
        <f>MIN(INT(($R$4*Q12)*(1+$B$34+$E$34+$B$52+$K$35)*$D$26*$O$5*IF($L$21="true",1.5,1)),ReadMe!$M$99)</f>
        <v>116585</v>
      </c>
      <c r="Q13" s="1234" t="s">
        <v>725</v>
      </c>
      <c r="R13" s="186" t="s">
        <v>257</v>
      </c>
      <c r="S13" s="155">
        <f>MIN(INT(P13*$E$41),ReadMe!$M$99)</f>
        <v>139902</v>
      </c>
      <c r="T13" s="1564" t="s">
        <v>323</v>
      </c>
      <c r="U13" s="1634">
        <f>INT(P14*(1-($G$41+$U$12))+S14*($G$41+$U$12))</f>
        <v>145537</v>
      </c>
      <c r="W13" s="21"/>
      <c r="X13" s="21"/>
      <c r="Y13" s="21"/>
      <c r="Z13" s="21"/>
    </row>
    <row r="14" spans="2:21" ht="13.5" customHeight="1" thickBot="1">
      <c r="B14" s="22"/>
      <c r="C14" s="21"/>
      <c r="D14" s="138"/>
      <c r="E14" s="42" t="s">
        <v>260</v>
      </c>
      <c r="F14" s="8"/>
      <c r="G14" s="8"/>
      <c r="H14" s="8"/>
      <c r="I14" s="8">
        <v>5</v>
      </c>
      <c r="J14" s="8"/>
      <c r="K14" s="9"/>
      <c r="N14" s="1228"/>
      <c r="O14" s="43" t="s">
        <v>258</v>
      </c>
      <c r="P14" s="522">
        <f>INT((P13+P15)/2)</f>
        <v>136016</v>
      </c>
      <c r="Q14" s="1235"/>
      <c r="R14" s="79" t="s">
        <v>258</v>
      </c>
      <c r="S14" s="156">
        <f>MIN(INT(P14*(($E$41+$F$41)/2)),ReadMe!$M$99)</f>
        <v>183621</v>
      </c>
      <c r="T14" s="1565"/>
      <c r="U14" s="1557"/>
    </row>
    <row r="15" spans="2:26" ht="14.25" thickBot="1">
      <c r="B15" s="22"/>
      <c r="C15" s="21"/>
      <c r="D15" s="138"/>
      <c r="E15" s="42" t="s">
        <v>261</v>
      </c>
      <c r="F15" s="8">
        <v>8</v>
      </c>
      <c r="G15" s="8"/>
      <c r="H15" s="8"/>
      <c r="I15" s="8">
        <v>8</v>
      </c>
      <c r="J15" s="8"/>
      <c r="K15" s="9"/>
      <c r="N15" s="1229"/>
      <c r="O15" s="15" t="s">
        <v>259</v>
      </c>
      <c r="P15" s="523">
        <f>MIN(INT(($T$4*Q12)*(1+$B$34+$E$34+$B$52+$K$35)*$D$26*$O$5*IF($L$21="true",1.5,1)),ReadMe!$M$99)</f>
        <v>155447</v>
      </c>
      <c r="Q15" s="1236"/>
      <c r="R15" s="86" t="s">
        <v>259</v>
      </c>
      <c r="S15" s="157">
        <f>MIN(INT(P15*$F$41),ReadMe!$M$99)</f>
        <v>233170</v>
      </c>
      <c r="T15" s="1565"/>
      <c r="U15" s="1557"/>
      <c r="W15" s="1359" t="s">
        <v>673</v>
      </c>
      <c r="X15" s="1361"/>
      <c r="Y15" s="1359" t="s">
        <v>696</v>
      </c>
      <c r="Z15" s="1361"/>
    </row>
    <row r="16" spans="2:26" ht="14.25" thickBot="1">
      <c r="B16" s="22"/>
      <c r="C16" s="21"/>
      <c r="D16" s="138"/>
      <c r="E16" s="42" t="s">
        <v>262</v>
      </c>
      <c r="F16" s="8">
        <v>5</v>
      </c>
      <c r="G16" s="8"/>
      <c r="H16" s="8"/>
      <c r="I16" s="8">
        <v>8</v>
      </c>
      <c r="J16" s="8"/>
      <c r="K16" s="9"/>
      <c r="N16" s="1342" t="s">
        <v>268</v>
      </c>
      <c r="O16" s="1420"/>
      <c r="P16" s="1420"/>
      <c r="Q16" s="1420"/>
      <c r="R16" s="1420"/>
      <c r="S16" s="1670">
        <f>(U13*T12*$T$10+IF($A$21="true",$S$40,0))*$G$47</f>
        <v>19110130</v>
      </c>
      <c r="T16" s="1478"/>
      <c r="U16" s="1479"/>
      <c r="W16" s="1487">
        <f>S16+IF(X2="true",$Z$5-X8,0)</f>
        <v>19110130</v>
      </c>
      <c r="X16" s="1528"/>
      <c r="Y16" s="1487">
        <f>INT(W16-U13*$P$51)+$P$53*$S$51*$G$47</f>
        <v>19994313</v>
      </c>
      <c r="Z16" s="1528"/>
    </row>
    <row r="17" spans="2:11" ht="14.25" thickBot="1">
      <c r="B17" s="136"/>
      <c r="C17" s="57"/>
      <c r="D17" s="139"/>
      <c r="E17" s="42" t="s">
        <v>5</v>
      </c>
      <c r="F17" s="8"/>
      <c r="G17" s="8">
        <v>3</v>
      </c>
      <c r="H17" s="8">
        <v>3</v>
      </c>
      <c r="I17" s="8">
        <v>3</v>
      </c>
      <c r="J17" s="8">
        <v>3</v>
      </c>
      <c r="K17" s="9"/>
    </row>
    <row r="18" spans="2:25" ht="14.25" thickBot="1">
      <c r="B18" s="47"/>
      <c r="C18" s="491"/>
      <c r="D18" s="220"/>
      <c r="E18" s="42" t="s">
        <v>5</v>
      </c>
      <c r="F18" s="8">
        <v>1</v>
      </c>
      <c r="G18" s="8">
        <v>1</v>
      </c>
      <c r="H18" s="8">
        <v>1</v>
      </c>
      <c r="I18" s="8">
        <v>1</v>
      </c>
      <c r="J18" s="8">
        <v>1</v>
      </c>
      <c r="K18" s="9"/>
      <c r="N18" s="1158" t="s">
        <v>63</v>
      </c>
      <c r="O18" s="1159"/>
      <c r="P18" s="1159"/>
      <c r="Q18" s="1159"/>
      <c r="R18" s="1159"/>
      <c r="S18" s="1159"/>
      <c r="T18" s="1159"/>
      <c r="U18" s="178" t="s">
        <v>520</v>
      </c>
      <c r="W18" s="323"/>
      <c r="X18" s="323"/>
      <c r="Y18" s="323"/>
    </row>
    <row r="19" spans="2:25" ht="14.25" thickBot="1">
      <c r="B19" s="311" t="s">
        <v>59</v>
      </c>
      <c r="C19" s="312"/>
      <c r="D19" s="691"/>
      <c r="E19" s="42" t="s">
        <v>5</v>
      </c>
      <c r="F19" s="8">
        <v>1</v>
      </c>
      <c r="G19" s="8">
        <v>1</v>
      </c>
      <c r="H19" s="8">
        <v>1</v>
      </c>
      <c r="I19" s="8">
        <v>1</v>
      </c>
      <c r="J19" s="8">
        <v>1</v>
      </c>
      <c r="K19" s="9"/>
      <c r="N19" s="89" t="s">
        <v>519</v>
      </c>
      <c r="O19" s="90">
        <f>D6</f>
        <v>30</v>
      </c>
      <c r="P19" s="146" t="s">
        <v>301</v>
      </c>
      <c r="Q19" s="600">
        <f>(310+3*O19)/100</f>
        <v>4</v>
      </c>
      <c r="R19" s="1344" t="s">
        <v>415</v>
      </c>
      <c r="S19" s="1345"/>
      <c r="T19" s="83">
        <v>83</v>
      </c>
      <c r="U19" s="82">
        <f>1+ROUNDUP(O19/7,0)</f>
        <v>6</v>
      </c>
      <c r="W19" s="323"/>
      <c r="X19" s="323"/>
      <c r="Y19" s="323"/>
    </row>
    <row r="20" spans="1:25" ht="14.25" thickBot="1">
      <c r="A20" s="402" t="b">
        <v>1</v>
      </c>
      <c r="B20" s="311" t="s">
        <v>61</v>
      </c>
      <c r="C20" s="312"/>
      <c r="D20" s="200"/>
      <c r="E20" s="42" t="s">
        <v>5</v>
      </c>
      <c r="F20" s="8"/>
      <c r="G20" s="8"/>
      <c r="H20" s="8"/>
      <c r="I20" s="8"/>
      <c r="J20" s="8"/>
      <c r="K20" s="9"/>
      <c r="N20" s="1305" t="s">
        <v>552</v>
      </c>
      <c r="O20" s="1306"/>
      <c r="P20" s="679">
        <f>(40+2*O19)/100</f>
        <v>1</v>
      </c>
      <c r="Q20" s="17" t="s">
        <v>1241</v>
      </c>
      <c r="R20" s="83">
        <f>5+INT(O19/6)</f>
        <v>10</v>
      </c>
      <c r="S20" s="1305" t="s">
        <v>551</v>
      </c>
      <c r="T20" s="1306"/>
      <c r="U20" s="677">
        <f>INT(P4*P20*N5*IF($L$22="true",1.5,1))</f>
        <v>10837</v>
      </c>
      <c r="W20" s="323"/>
      <c r="X20" s="323"/>
      <c r="Y20" s="323"/>
    </row>
    <row r="21" spans="1:26" ht="14.25" thickBot="1">
      <c r="A21" s="402" t="str">
        <f>IF(A20=TRUE,"TRUE",IF(D21=1,"TRUE","FLASE"))</f>
        <v>TRUE</v>
      </c>
      <c r="B21" s="311" t="s">
        <v>60</v>
      </c>
      <c r="C21" s="312"/>
      <c r="D21" s="592"/>
      <c r="E21" s="42" t="s">
        <v>1305</v>
      </c>
      <c r="F21" s="8"/>
      <c r="G21" s="8">
        <v>2</v>
      </c>
      <c r="H21" s="8">
        <v>2</v>
      </c>
      <c r="I21" s="8">
        <v>2</v>
      </c>
      <c r="J21" s="8">
        <v>2</v>
      </c>
      <c r="K21" s="9"/>
      <c r="L21" s="486" t="str">
        <f>IF(A22=TRUE,"TRUE",IF(D22=1,"TRUE","FLASE"))</f>
        <v>TRUE</v>
      </c>
      <c r="N21" s="1227" t="str">
        <f>IF($L$22="true","氷弱点","通常")</f>
        <v>通常</v>
      </c>
      <c r="O21" s="76" t="s">
        <v>257</v>
      </c>
      <c r="P21" s="521">
        <f>MIN(INT(($R$4*Q19)*(1+$B$34+$E$34+$B$52+$K$35)*$D$26*$N$5*IF($L$22="true",1.5,1)),ReadMe!$M$99)</f>
        <v>36575</v>
      </c>
      <c r="Q21" s="1234" t="s">
        <v>725</v>
      </c>
      <c r="R21" s="186" t="s">
        <v>257</v>
      </c>
      <c r="S21" s="155">
        <f>MIN(INT(P21*$E$41),ReadMe!$M$99)</f>
        <v>43890</v>
      </c>
      <c r="T21" s="1564" t="s">
        <v>323</v>
      </c>
      <c r="U21" s="1556">
        <f>INT(P22*(1-$G$41)+S22*$G$41)</f>
        <v>43417</v>
      </c>
      <c r="W21" s="323"/>
      <c r="X21" s="323"/>
      <c r="Y21" s="455"/>
      <c r="Z21" s="21"/>
    </row>
    <row r="22" spans="1:26" ht="14.25" thickBot="1">
      <c r="A22" s="402" t="b">
        <v>1</v>
      </c>
      <c r="B22" s="1380" t="s">
        <v>187</v>
      </c>
      <c r="C22" s="1381"/>
      <c r="D22" s="696"/>
      <c r="E22" s="42" t="s">
        <v>1307</v>
      </c>
      <c r="F22" s="8"/>
      <c r="G22" s="8">
        <v>3</v>
      </c>
      <c r="H22" s="8">
        <v>3</v>
      </c>
      <c r="I22" s="8">
        <v>3</v>
      </c>
      <c r="J22" s="8">
        <v>3</v>
      </c>
      <c r="K22" s="9"/>
      <c r="L22" s="486" t="str">
        <f>IF(A23=TRUE,"TRUE",IF(D23=1,"TRUE","FLASE"))</f>
        <v>FLASE</v>
      </c>
      <c r="N22" s="1228"/>
      <c r="O22" s="43" t="s">
        <v>258</v>
      </c>
      <c r="P22" s="522">
        <f>INT((P21+P23)/2)</f>
        <v>42671</v>
      </c>
      <c r="Q22" s="1235"/>
      <c r="R22" s="79" t="s">
        <v>258</v>
      </c>
      <c r="S22" s="156">
        <f>MIN(INT(P22*(($E$41+$F$41)/2)),ReadMe!$M$99)</f>
        <v>57605</v>
      </c>
      <c r="T22" s="1565"/>
      <c r="U22" s="1557"/>
      <c r="W22" s="323"/>
      <c r="X22" s="323"/>
      <c r="Y22" s="455"/>
      <c r="Z22" s="21"/>
    </row>
    <row r="23" spans="1:26" ht="14.25" thickBot="1">
      <c r="A23" s="402" t="b">
        <v>0</v>
      </c>
      <c r="B23" s="1689" t="s">
        <v>188</v>
      </c>
      <c r="C23" s="1690"/>
      <c r="D23" s="501"/>
      <c r="E23" s="7" t="s">
        <v>181</v>
      </c>
      <c r="F23" s="8"/>
      <c r="G23" s="8"/>
      <c r="H23" s="8"/>
      <c r="I23" s="8"/>
      <c r="J23" s="8"/>
      <c r="K23" s="9"/>
      <c r="N23" s="1229"/>
      <c r="O23" s="15" t="s">
        <v>259</v>
      </c>
      <c r="P23" s="523">
        <f>MIN(INT(($T$4*Q19)*(1+$B$34+$E$34+$B$52+$K$35)*$D$26*$N$5*IF($L$22="true",1.5,1)),ReadMe!$M$99)</f>
        <v>48767</v>
      </c>
      <c r="Q23" s="1236"/>
      <c r="R23" s="86" t="s">
        <v>259</v>
      </c>
      <c r="S23" s="157">
        <f>MIN(INT(P23*$F$41),ReadMe!$M$99)</f>
        <v>73150</v>
      </c>
      <c r="T23" s="1565"/>
      <c r="U23" s="1557"/>
      <c r="Y23" s="1359" t="s">
        <v>696</v>
      </c>
      <c r="Z23" s="1361"/>
    </row>
    <row r="24" spans="2:26" ht="14.25" thickBot="1">
      <c r="B24" s="603" t="s">
        <v>557</v>
      </c>
      <c r="C24" s="604"/>
      <c r="D24" s="356">
        <v>10</v>
      </c>
      <c r="E24" s="7" t="s">
        <v>13</v>
      </c>
      <c r="F24" s="8"/>
      <c r="G24" s="8"/>
      <c r="H24" s="8"/>
      <c r="I24" s="8"/>
      <c r="J24" s="8"/>
      <c r="K24" s="9"/>
      <c r="N24" s="1342" t="s">
        <v>289</v>
      </c>
      <c r="O24" s="1420"/>
      <c r="P24" s="1420"/>
      <c r="Q24" s="1420"/>
      <c r="R24" s="1420"/>
      <c r="S24" s="1670">
        <f>(U21*T19*$T$10+U20*60+IF($A$21="true",$S$40,0))*$G$47</f>
        <v>8588683.466666667</v>
      </c>
      <c r="T24" s="1478"/>
      <c r="U24" s="1479"/>
      <c r="Y24" s="1487">
        <f>INT(S24-U21*$P$51)+$P$53*$S$51*$G$47</f>
        <v>9511162</v>
      </c>
      <c r="Z24" s="1528"/>
    </row>
    <row r="25" spans="2:11" ht="14.25" customHeight="1" thickBot="1">
      <c r="B25" s="308" t="s">
        <v>163</v>
      </c>
      <c r="C25" s="551"/>
      <c r="D25" s="20">
        <v>20</v>
      </c>
      <c r="E25" s="7" t="s">
        <v>1153</v>
      </c>
      <c r="F25" s="8">
        <v>20</v>
      </c>
      <c r="G25" s="8"/>
      <c r="H25" s="8"/>
      <c r="I25" s="8"/>
      <c r="J25" s="8"/>
      <c r="K25" s="9"/>
    </row>
    <row r="26" spans="2:26" ht="14.25" thickBot="1">
      <c r="B26" s="53" t="s">
        <v>302</v>
      </c>
      <c r="C26" s="559"/>
      <c r="D26" s="578">
        <f>(110+2*D25)/100</f>
        <v>1.5</v>
      </c>
      <c r="E26" s="7" t="s">
        <v>192</v>
      </c>
      <c r="F26" s="8"/>
      <c r="G26" s="8"/>
      <c r="H26" s="8"/>
      <c r="I26" s="8"/>
      <c r="J26" s="8"/>
      <c r="K26" s="9"/>
      <c r="N26" s="1158" t="s">
        <v>773</v>
      </c>
      <c r="O26" s="1159"/>
      <c r="P26" s="1159"/>
      <c r="Q26" s="1159"/>
      <c r="R26" s="1159"/>
      <c r="S26" s="1159"/>
      <c r="T26" s="1159"/>
      <c r="U26" s="1160"/>
      <c r="V26" s="96"/>
      <c r="W26" s="96"/>
      <c r="X26" s="96"/>
      <c r="Y26" s="190"/>
      <c r="Z26" s="190"/>
    </row>
    <row r="27" spans="2:26" ht="14.25" thickBot="1">
      <c r="B27" s="1428" t="s">
        <v>535</v>
      </c>
      <c r="C27" s="1429"/>
      <c r="D27" s="20">
        <v>9</v>
      </c>
      <c r="E27" s="216" t="s">
        <v>1310</v>
      </c>
      <c r="F27" s="8"/>
      <c r="G27" s="40">
        <f>ROUNDDOWN(G3*D28%,0)</f>
        <v>0</v>
      </c>
      <c r="H27" s="40">
        <f>ROUNDDOWN(H3*D28%,0)</f>
        <v>0</v>
      </c>
      <c r="I27" s="40">
        <f>ROUNDDOWN(I3*D28%,0)</f>
        <v>38</v>
      </c>
      <c r="J27" s="40">
        <f>ROUNDDOWN(J3*D28%,0)</f>
        <v>0</v>
      </c>
      <c r="K27" s="9">
        <f>SUM(K2:K25)+D28</f>
        <v>6</v>
      </c>
      <c r="N27" s="147" t="s">
        <v>519</v>
      </c>
      <c r="O27" s="148">
        <f>D8</f>
        <v>30</v>
      </c>
      <c r="P27" s="147" t="s">
        <v>301</v>
      </c>
      <c r="Q27" s="598">
        <f>(230+2*O27)/100</f>
        <v>2.9</v>
      </c>
      <c r="R27" s="201" t="s">
        <v>800</v>
      </c>
      <c r="S27" s="202">
        <v>1</v>
      </c>
      <c r="T27" s="483" t="s">
        <v>1272</v>
      </c>
      <c r="U27" s="484">
        <v>32</v>
      </c>
      <c r="V27" s="21"/>
      <c r="W27" s="21"/>
      <c r="X27" s="21"/>
      <c r="Y27" s="21"/>
      <c r="Z27" s="21"/>
    </row>
    <row r="28" spans="2:26" ht="14.25" thickBot="1">
      <c r="B28" s="14" t="s">
        <v>263</v>
      </c>
      <c r="C28" s="538"/>
      <c r="D28" s="46">
        <f>ROUNDUP(D27/2,0)</f>
        <v>5</v>
      </c>
      <c r="E28" s="7" t="s">
        <v>264</v>
      </c>
      <c r="F28" s="43">
        <f>D29+3*D24+10</f>
        <v>40</v>
      </c>
      <c r="G28" s="43">
        <f>SUM(G4:G26)</f>
        <v>27</v>
      </c>
      <c r="H28" s="43">
        <f>SUM(H4:H26)</f>
        <v>27</v>
      </c>
      <c r="I28" s="43">
        <f>SUM(I4:I26)</f>
        <v>105</v>
      </c>
      <c r="J28" s="43">
        <f>SUM(J4:J26)</f>
        <v>27</v>
      </c>
      <c r="K28" s="588">
        <f>SUM(K3:K27)+D33</f>
        <v>7</v>
      </c>
      <c r="N28" s="1227" t="str">
        <f>IF($L$21="true","雷弱点","通常")</f>
        <v>雷弱点</v>
      </c>
      <c r="O28" s="76" t="s">
        <v>257</v>
      </c>
      <c r="P28" s="521">
        <f>MIN(INT(($R$4*Q27)*(1+$B$34+$E$34+$B$52+$K$35)*$D$26*$O$5*IF($L$21="true",1.5,1)),ReadMe!$M$99)</f>
        <v>39776</v>
      </c>
      <c r="Q28" s="1234" t="s">
        <v>725</v>
      </c>
      <c r="R28" s="186" t="s">
        <v>257</v>
      </c>
      <c r="S28" s="155">
        <f>MIN(INT(P28*$E$41),ReadMe!$M$99)</f>
        <v>47731</v>
      </c>
      <c r="T28" s="1564" t="s">
        <v>323</v>
      </c>
      <c r="U28" s="1556">
        <f>INT(P29*(1-$G$41)+S29*$G$41)</f>
        <v>47217</v>
      </c>
      <c r="Y28" s="21"/>
      <c r="Z28" s="21"/>
    </row>
    <row r="29" spans="2:26" ht="14.25" thickBot="1">
      <c r="B29" s="17" t="s">
        <v>1378</v>
      </c>
      <c r="C29" s="195"/>
      <c r="D29" s="313">
        <v>0</v>
      </c>
      <c r="E29" s="14" t="s">
        <v>256</v>
      </c>
      <c r="F29" s="48">
        <f>SUM(F4:F28)</f>
        <v>271</v>
      </c>
      <c r="G29" s="48">
        <f>INT((G3+G27+G28)*(1+G32))</f>
        <v>31</v>
      </c>
      <c r="H29" s="48">
        <f>INT((H3+H27+H28)*(1+H32))</f>
        <v>31</v>
      </c>
      <c r="I29" s="48">
        <f>INT((I3+I27+I28)*(1+I32))</f>
        <v>992</v>
      </c>
      <c r="J29" s="48">
        <f>INT((J3+J27+J28)*(1+J32))</f>
        <v>31</v>
      </c>
      <c r="K29" s="547">
        <f>($H$29*0.4+$J$29*0.8+$I$29*1.6+K28)*(1+$K$32)</f>
        <v>1631.4</v>
      </c>
      <c r="N29" s="1228"/>
      <c r="O29" s="43" t="s">
        <v>258</v>
      </c>
      <c r="P29" s="522">
        <f>INT((P28+P30)/2)</f>
        <v>46405</v>
      </c>
      <c r="Q29" s="1235"/>
      <c r="R29" s="79" t="s">
        <v>258</v>
      </c>
      <c r="S29" s="156">
        <f>MIN(INT(P29*(($E$41+$F$41)/2)),ReadMe!$M$99)</f>
        <v>62646</v>
      </c>
      <c r="T29" s="1565"/>
      <c r="U29" s="1557"/>
      <c r="Y29" s="21"/>
      <c r="Z29" s="21"/>
    </row>
    <row r="30" spans="2:26" ht="14.25" thickBot="1">
      <c r="B30" s="1305" t="s">
        <v>981</v>
      </c>
      <c r="C30" s="1306"/>
      <c r="D30" s="1306"/>
      <c r="E30" s="1306"/>
      <c r="F30" s="1306"/>
      <c r="G30" s="1306"/>
      <c r="H30" s="1306"/>
      <c r="I30" s="1306"/>
      <c r="J30" s="1306"/>
      <c r="K30" s="1307"/>
      <c r="N30" s="1229"/>
      <c r="O30" s="15" t="s">
        <v>259</v>
      </c>
      <c r="P30" s="523">
        <f>MIN(INT(($T$4*Q27)*(1+$B$34+$E$34+$B$52+$K$35)*$D$26*$O$5*IF($L$21="true",1.5,1)),ReadMe!$M$99)</f>
        <v>53034</v>
      </c>
      <c r="Q30" s="1236"/>
      <c r="R30" s="86" t="s">
        <v>259</v>
      </c>
      <c r="S30" s="157">
        <f>MIN(INT(P30*$F$41),ReadMe!$M$99)</f>
        <v>79551</v>
      </c>
      <c r="T30" s="1565"/>
      <c r="U30" s="1557"/>
      <c r="Y30" s="21"/>
      <c r="Z30" s="21"/>
    </row>
    <row r="31" spans="2:26" ht="14.25" thickBot="1">
      <c r="B31" s="1218" t="s">
        <v>762</v>
      </c>
      <c r="C31" s="1219"/>
      <c r="D31" s="1220"/>
      <c r="E31" s="1308" t="s">
        <v>1218</v>
      </c>
      <c r="F31" s="1309"/>
      <c r="G31" s="1" t="s">
        <v>986</v>
      </c>
      <c r="H31" s="3" t="s">
        <v>985</v>
      </c>
      <c r="I31" s="3" t="s">
        <v>984</v>
      </c>
      <c r="J31" s="3" t="s">
        <v>983</v>
      </c>
      <c r="K31" s="4" t="s">
        <v>987</v>
      </c>
      <c r="N31" s="1227" t="s">
        <v>299</v>
      </c>
      <c r="O31" s="84" t="s">
        <v>257</v>
      </c>
      <c r="P31" s="180">
        <f>P28*5</f>
        <v>198880</v>
      </c>
      <c r="Q31" s="1519"/>
      <c r="R31" s="1521"/>
      <c r="S31" s="1679">
        <f>(P32*U27*$T$10+IF($A$21="true",$S$40,0))*$G$47</f>
        <v>12811497.9</v>
      </c>
      <c r="T31" s="1680"/>
      <c r="U31" s="1681"/>
      <c r="W31" s="1694" t="s">
        <v>673</v>
      </c>
      <c r="X31" s="1695"/>
      <c r="Y31" s="1359" t="s">
        <v>696</v>
      </c>
      <c r="Z31" s="1361"/>
    </row>
    <row r="32" spans="2:26" ht="14.25" thickBot="1">
      <c r="B32" s="1210">
        <v>0</v>
      </c>
      <c r="C32" s="1211"/>
      <c r="D32" s="1212"/>
      <c r="E32" s="1130">
        <v>0</v>
      </c>
      <c r="F32" s="1131"/>
      <c r="G32" s="542">
        <v>0</v>
      </c>
      <c r="H32" s="543">
        <v>0</v>
      </c>
      <c r="I32" s="543">
        <v>0.09</v>
      </c>
      <c r="J32" s="543">
        <v>0</v>
      </c>
      <c r="K32" s="544">
        <v>0</v>
      </c>
      <c r="N32" s="1228"/>
      <c r="O32" s="173" t="s">
        <v>335</v>
      </c>
      <c r="P32" s="645">
        <f>U28*5</f>
        <v>236085</v>
      </c>
      <c r="Q32" s="557" t="s">
        <v>268</v>
      </c>
      <c r="R32" s="558"/>
      <c r="S32" s="1682"/>
      <c r="T32" s="1683"/>
      <c r="U32" s="1684"/>
      <c r="W32" s="1693">
        <f>S31+IF($X$2="true",$Z$5-Z8,0)</f>
        <v>12811497.9</v>
      </c>
      <c r="X32" s="1393"/>
      <c r="Y32" s="1392">
        <f>INT(W32-U28*$P$51)+$P$53*$S$51*$G$47</f>
        <v>13732551</v>
      </c>
      <c r="Z32" s="1393"/>
    </row>
    <row r="33" spans="2:26" ht="13.5" customHeight="1" thickBot="1">
      <c r="B33" s="1221" t="s">
        <v>135</v>
      </c>
      <c r="C33" s="1166"/>
      <c r="D33" s="1177"/>
      <c r="E33" s="1261" t="s">
        <v>877</v>
      </c>
      <c r="F33" s="1262"/>
      <c r="N33" s="1229"/>
      <c r="O33" s="92" t="s">
        <v>259</v>
      </c>
      <c r="P33" s="182">
        <f>S30*5</f>
        <v>397755</v>
      </c>
      <c r="Q33" s="1164"/>
      <c r="R33" s="1165"/>
      <c r="S33" s="1685"/>
      <c r="T33" s="1686"/>
      <c r="U33" s="1687"/>
      <c r="W33" s="712"/>
      <c r="X33" s="864"/>
      <c r="Y33" s="865"/>
      <c r="Z33" s="864"/>
    </row>
    <row r="34" spans="2:25" ht="14.25" thickBot="1">
      <c r="B34" s="1210">
        <v>0</v>
      </c>
      <c r="C34" s="1222"/>
      <c r="D34" s="1212"/>
      <c r="E34" s="1130">
        <v>0</v>
      </c>
      <c r="F34" s="1131"/>
      <c r="I34" s="1297" t="s">
        <v>1417</v>
      </c>
      <c r="J34" s="1298"/>
      <c r="K34" s="1299"/>
      <c r="W34" s="61"/>
      <c r="X34" s="61"/>
      <c r="Y34" s="61"/>
    </row>
    <row r="35" spans="9:25" ht="14.25" thickBot="1">
      <c r="I35" s="14" t="s">
        <v>1410</v>
      </c>
      <c r="J35" s="15"/>
      <c r="K35" s="534">
        <v>0</v>
      </c>
      <c r="N35" s="1158" t="s">
        <v>290</v>
      </c>
      <c r="O35" s="1159"/>
      <c r="P35" s="1159"/>
      <c r="Q35" s="1159"/>
      <c r="R35" s="1159"/>
      <c r="S35" s="1159"/>
      <c r="T35" s="1159"/>
      <c r="U35" s="1160"/>
      <c r="W35" s="57"/>
      <c r="X35" s="59"/>
      <c r="Y35" s="59"/>
    </row>
    <row r="36" spans="2:25" ht="14.25" thickBot="1">
      <c r="B36" s="1280" t="s">
        <v>88</v>
      </c>
      <c r="C36" s="1281"/>
      <c r="D36" s="1281"/>
      <c r="E36" s="503" t="s">
        <v>257</v>
      </c>
      <c r="F36" s="19" t="s">
        <v>259</v>
      </c>
      <c r="G36" s="504" t="s">
        <v>1085</v>
      </c>
      <c r="N36" s="142" t="s">
        <v>519</v>
      </c>
      <c r="O36" s="65">
        <v>10</v>
      </c>
      <c r="P36" s="142" t="s">
        <v>301</v>
      </c>
      <c r="Q36" s="601">
        <v>3</v>
      </c>
      <c r="R36" s="1668" t="s">
        <v>415</v>
      </c>
      <c r="S36" s="1669"/>
      <c r="T36" s="224">
        <v>87</v>
      </c>
      <c r="U36" s="732" t="s">
        <v>1096</v>
      </c>
      <c r="W36" s="57"/>
      <c r="X36" s="59"/>
      <c r="Y36" s="59"/>
    </row>
    <row r="37" spans="2:25" ht="14.25" thickBot="1">
      <c r="B37" s="1213" t="s">
        <v>90</v>
      </c>
      <c r="C37" s="1214"/>
      <c r="D37" s="1215"/>
      <c r="E37" s="35">
        <v>1.2</v>
      </c>
      <c r="F37" s="507">
        <v>1.5</v>
      </c>
      <c r="G37" s="241">
        <v>0.05</v>
      </c>
      <c r="I37" s="1256" t="s">
        <v>438</v>
      </c>
      <c r="J37" s="1300"/>
      <c r="K37" s="1301"/>
      <c r="N37" s="1227" t="s">
        <v>327</v>
      </c>
      <c r="O37" s="76" t="s">
        <v>257</v>
      </c>
      <c r="P37" s="521">
        <f>MIN(INT(($R$4*Q36)*(1+$B$34+$E$34+$B$52+$K$35)*$D$26),ReadMe!$M$99)</f>
        <v>27431</v>
      </c>
      <c r="Q37" s="1234" t="s">
        <v>725</v>
      </c>
      <c r="R37" s="186" t="s">
        <v>257</v>
      </c>
      <c r="S37" s="155">
        <f>MIN(INT(P37*$E$41),ReadMe!$M$99)</f>
        <v>32917</v>
      </c>
      <c r="T37" s="1564" t="s">
        <v>323</v>
      </c>
      <c r="U37" s="1556">
        <f>INT(P38*(1-$G$41)+S38*$G$41)</f>
        <v>32563</v>
      </c>
      <c r="W37" s="57"/>
      <c r="X37" s="309"/>
      <c r="Y37" s="59"/>
    </row>
    <row r="38" spans="2:25" ht="14.25" thickBot="1">
      <c r="B38" s="1228" t="s">
        <v>86</v>
      </c>
      <c r="C38" s="1284"/>
      <c r="D38" s="516">
        <v>0</v>
      </c>
      <c r="E38" s="506"/>
      <c r="F38" s="505">
        <f>D38/100</f>
        <v>0</v>
      </c>
      <c r="G38" s="511">
        <f>IF(D38=0,0,(5+ROUNDUP(D38/2,0))/100)</f>
        <v>0</v>
      </c>
      <c r="I38" s="1256" t="s">
        <v>440</v>
      </c>
      <c r="J38" s="1257"/>
      <c r="K38" s="1258"/>
      <c r="N38" s="1228"/>
      <c r="O38" s="43" t="s">
        <v>258</v>
      </c>
      <c r="P38" s="522">
        <f>INT((P37+P39)/2)</f>
        <v>32003</v>
      </c>
      <c r="Q38" s="1235"/>
      <c r="R38" s="79" t="s">
        <v>258</v>
      </c>
      <c r="S38" s="156">
        <f>MIN(INT(P38*(($E$41+$F$41)/2)),ReadMe!$M$99)</f>
        <v>43204</v>
      </c>
      <c r="T38" s="1565"/>
      <c r="U38" s="1557"/>
      <c r="W38" s="61"/>
      <c r="X38" s="61"/>
      <c r="Y38" s="61"/>
    </row>
    <row r="39" spans="1:25"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9"/>
      <c r="O39" s="15" t="s">
        <v>259</v>
      </c>
      <c r="P39" s="523">
        <f>MIN(INT(($T$4*Q36)*(1+$B$34+$E$34+$B$52+$K$35)*$D$26),ReadMe!$M$99)</f>
        <v>36575</v>
      </c>
      <c r="Q39" s="1236"/>
      <c r="R39" s="86" t="s">
        <v>259</v>
      </c>
      <c r="S39" s="157">
        <f>MIN(INT(P39*$F$41),ReadMe!$M$99)</f>
        <v>54862</v>
      </c>
      <c r="T39" s="1565"/>
      <c r="U39" s="1557"/>
      <c r="W39" s="57"/>
      <c r="X39" s="59"/>
      <c r="Y39" s="59"/>
    </row>
    <row r="40" spans="2:25" ht="14.25" thickBot="1">
      <c r="B40" s="1285" t="s">
        <v>89</v>
      </c>
      <c r="C40" s="1286"/>
      <c r="D40" s="1287"/>
      <c r="E40" s="513">
        <v>0</v>
      </c>
      <c r="F40" s="514">
        <v>0</v>
      </c>
      <c r="G40" s="515">
        <v>0</v>
      </c>
      <c r="N40" s="1342" t="s">
        <v>268</v>
      </c>
      <c r="O40" s="1420"/>
      <c r="P40" s="1420"/>
      <c r="Q40" s="1420"/>
      <c r="R40" s="1420"/>
      <c r="S40" s="1670">
        <f>U37*T36*$T$10*$G$47</f>
        <v>3494009.9000000004</v>
      </c>
      <c r="T40" s="1478"/>
      <c r="U40" s="1479"/>
      <c r="W40" s="57"/>
      <c r="X40" s="59"/>
      <c r="Y40" s="59"/>
    </row>
    <row r="41" spans="2:25" ht="14.25" thickBot="1">
      <c r="B41" s="1290" t="s">
        <v>91</v>
      </c>
      <c r="C41" s="1291"/>
      <c r="D41" s="1292"/>
      <c r="E41" s="508">
        <f>E37+E39+E40</f>
        <v>1.2</v>
      </c>
      <c r="F41" s="509">
        <f>F37+MAX(F38,F39)+F40</f>
        <v>1.5</v>
      </c>
      <c r="G41" s="510">
        <f>G37+MAX(G38,G39)+G40</f>
        <v>0.05</v>
      </c>
      <c r="I41" s="1259" t="s">
        <v>128</v>
      </c>
      <c r="J41" s="1260"/>
      <c r="K41" s="791"/>
      <c r="L41" s="402" t="b">
        <v>0</v>
      </c>
      <c r="M41" s="486" t="str">
        <f>IF(L41=TRUE,"TRUE",IF(K41=1,"TRUE","FLASE"))</f>
        <v>FLASE</v>
      </c>
      <c r="W41" s="57"/>
      <c r="X41" s="309"/>
      <c r="Y41" s="59"/>
    </row>
    <row r="42" spans="2:25" ht="14.25" thickBot="1">
      <c r="B42" s="1216" t="s">
        <v>331</v>
      </c>
      <c r="C42" s="1199"/>
      <c r="D42" s="1200"/>
      <c r="E42" s="1253">
        <f>(($E$41+$F$41)/2-1)*$G$41+1</f>
        <v>1.0175</v>
      </c>
      <c r="F42" s="1254"/>
      <c r="G42" s="1255"/>
      <c r="I42" s="590" t="s">
        <v>1119</v>
      </c>
      <c r="J42" s="788"/>
      <c r="K42" s="789">
        <v>0</v>
      </c>
      <c r="N42" s="1158" t="s">
        <v>64</v>
      </c>
      <c r="O42" s="1159"/>
      <c r="P42" s="1159"/>
      <c r="Q42" s="1159"/>
      <c r="R42" s="1159"/>
      <c r="S42" s="1159"/>
      <c r="T42" s="1159"/>
      <c r="U42" s="1160"/>
      <c r="W42" s="61"/>
      <c r="X42" s="61"/>
      <c r="Y42" s="61"/>
    </row>
    <row r="43" spans="9:25" ht="14.25" thickBot="1">
      <c r="I43" s="1251" t="s">
        <v>854</v>
      </c>
      <c r="J43" s="1252"/>
      <c r="K43" s="790">
        <f>IF(M41="true",IF(K42&gt;0,10+ROUNDUP(K42/3,0),10)/100,0)</f>
        <v>0</v>
      </c>
      <c r="L43" s="323"/>
      <c r="M43" s="323"/>
      <c r="N43" s="147" t="s">
        <v>519</v>
      </c>
      <c r="O43" s="148">
        <f>D7</f>
        <v>30</v>
      </c>
      <c r="P43" s="147" t="s">
        <v>301</v>
      </c>
      <c r="Q43" s="606">
        <f>(1000+20*O43)/100</f>
        <v>16</v>
      </c>
      <c r="R43" s="1677" t="s">
        <v>765</v>
      </c>
      <c r="S43" s="1678"/>
      <c r="T43" s="681">
        <f>60-2*INT(O43/2)</f>
        <v>30</v>
      </c>
      <c r="U43" s="200"/>
      <c r="W43" s="57"/>
      <c r="X43" s="57"/>
      <c r="Y43" s="57"/>
    </row>
    <row r="44" spans="14:21" ht="14.25" thickBot="1">
      <c r="N44" s="1305" t="s">
        <v>552</v>
      </c>
      <c r="O44" s="1306"/>
      <c r="P44" s="679">
        <f>(85+4*O43)/100</f>
        <v>2.05</v>
      </c>
      <c r="Q44" s="17" t="s">
        <v>1241</v>
      </c>
      <c r="R44" s="83">
        <f>5+INT(O43/6)</f>
        <v>10</v>
      </c>
      <c r="S44" s="1305" t="s">
        <v>551</v>
      </c>
      <c r="T44" s="1306"/>
      <c r="U44" s="677">
        <f>INT(P4*P44*N5*IF($L$22="true",1.5,1))</f>
        <v>22216</v>
      </c>
    </row>
    <row r="45" spans="2:21" ht="14.25" thickBot="1">
      <c r="B45" s="1282" t="s">
        <v>735</v>
      </c>
      <c r="C45" s="1283"/>
      <c r="D45" s="533">
        <v>125</v>
      </c>
      <c r="E45" s="1249" t="s">
        <v>736</v>
      </c>
      <c r="F45" s="1250"/>
      <c r="G45" s="25">
        <f>IF(D2&gt;D45,0,$D$45-$D$2)</f>
        <v>0</v>
      </c>
      <c r="I45" s="1137" t="s">
        <v>159</v>
      </c>
      <c r="J45" s="1138"/>
      <c r="K45" s="1139"/>
      <c r="N45" s="1227" t="str">
        <f>IF($L$22="true","氷弱点","通常")</f>
        <v>通常</v>
      </c>
      <c r="O45" s="76" t="s">
        <v>257</v>
      </c>
      <c r="P45" s="521">
        <f>MIN(INT(($R$4*Q43)*(1+$B$34+$E$34+$B$52+$K$35)*$D$26*$N$5*IF($L$22="true",1.5,1)),ReadMe!$M$99)</f>
        <v>146303</v>
      </c>
      <c r="Q45" s="1234" t="s">
        <v>725</v>
      </c>
      <c r="R45" s="186" t="s">
        <v>257</v>
      </c>
      <c r="S45" s="155">
        <f>MIN(INT(P45*$E$41),ReadMe!$M$99)</f>
        <v>175563</v>
      </c>
      <c r="T45" s="1564" t="s">
        <v>323</v>
      </c>
      <c r="U45" s="1556">
        <f>INT(P46*(1-$G$41)+S46*$G$41)</f>
        <v>173674</v>
      </c>
    </row>
    <row r="46" spans="2:21" ht="13.5">
      <c r="B46" s="1242" t="s">
        <v>769</v>
      </c>
      <c r="C46" s="1243"/>
      <c r="D46" s="9">
        <v>12</v>
      </c>
      <c r="E46" s="1242" t="s">
        <v>771</v>
      </c>
      <c r="F46" s="1243"/>
      <c r="G46" s="615">
        <f>IF(G45&gt;0,"-",D46)</f>
        <v>12</v>
      </c>
      <c r="I46" s="416" t="s">
        <v>160</v>
      </c>
      <c r="J46" s="539"/>
      <c r="K46" s="204">
        <v>0</v>
      </c>
      <c r="L46" s="323"/>
      <c r="M46" s="323"/>
      <c r="N46" s="1228"/>
      <c r="O46" s="43" t="s">
        <v>258</v>
      </c>
      <c r="P46" s="522">
        <f>INT((P45+P47)/2)</f>
        <v>170687</v>
      </c>
      <c r="Q46" s="1235"/>
      <c r="R46" s="79" t="s">
        <v>258</v>
      </c>
      <c r="S46" s="156">
        <f>MIN(INT(P46*(($E$41+$F$41)/2)),ReadMe!$M$99)</f>
        <v>230427</v>
      </c>
      <c r="T46" s="1565"/>
      <c r="U46" s="1557"/>
    </row>
    <row r="47" spans="2:21" ht="14.25" thickBot="1">
      <c r="B47" s="1293" t="s">
        <v>734</v>
      </c>
      <c r="C47" s="1294"/>
      <c r="D47" s="9">
        <v>0</v>
      </c>
      <c r="E47" s="1242" t="s">
        <v>770</v>
      </c>
      <c r="F47" s="1243"/>
      <c r="G47" s="511">
        <f>MAX((MIN(100+SQRT($K$29)-SQRT($D$46),100)-2*G45)/100,0)</f>
        <v>1</v>
      </c>
      <c r="I47" s="417" t="s">
        <v>161</v>
      </c>
      <c r="J47" s="540"/>
      <c r="K47" s="418">
        <f>IF(K46&gt;0,(K46+10)/100,0)</f>
        <v>0</v>
      </c>
      <c r="N47" s="1229"/>
      <c r="O47" s="15" t="s">
        <v>259</v>
      </c>
      <c r="P47" s="523">
        <f>MIN(INT(($T$4*Q43)*(1+$B$34+$E$34+$B$52+$K$35)*$D$26*$N$5*IF($L$22="true",1.5,1)),ReadMe!$M$99)</f>
        <v>195071</v>
      </c>
      <c r="Q47" s="1236"/>
      <c r="R47" s="86" t="s">
        <v>259</v>
      </c>
      <c r="S47" s="157">
        <f>MIN(INT(P47*$F$41),ReadMe!$M$99)</f>
        <v>292606</v>
      </c>
      <c r="T47" s="1565"/>
      <c r="U47" s="1557"/>
    </row>
    <row r="48" spans="2:7" ht="14.25" thickBot="1">
      <c r="B48" s="1278" t="s">
        <v>979</v>
      </c>
      <c r="C48" s="1279"/>
      <c r="D48" s="534">
        <v>0.25</v>
      </c>
      <c r="E48" s="1197" t="s">
        <v>980</v>
      </c>
      <c r="F48" s="1198"/>
      <c r="G48" s="28">
        <f>1-(D48-ROUNDUP(D48*(K47+B32),2))</f>
        <v>0.75</v>
      </c>
    </row>
    <row r="49" spans="4:19" ht="14.25" thickBot="1">
      <c r="D49" s="402">
        <f>$D$47*(1-($K$47+$B$32))</f>
        <v>0</v>
      </c>
      <c r="I49" s="1246" t="s">
        <v>79</v>
      </c>
      <c r="J49" s="1247"/>
      <c r="K49" s="1248"/>
      <c r="L49" s="323"/>
      <c r="M49" s="162"/>
      <c r="N49" s="1158" t="s">
        <v>189</v>
      </c>
      <c r="O49" s="1159"/>
      <c r="P49" s="1159"/>
      <c r="Q49" s="1159"/>
      <c r="R49" s="1159"/>
      <c r="S49" s="1160"/>
    </row>
    <row r="50" spans="2:19" ht="14.25" thickBot="1">
      <c r="B50" s="1153" t="s">
        <v>1084</v>
      </c>
      <c r="C50" s="1133"/>
      <c r="D50" s="1129"/>
      <c r="I50" s="1127" t="s">
        <v>988</v>
      </c>
      <c r="J50" s="1217"/>
      <c r="K50" s="468"/>
      <c r="L50" s="486" t="b">
        <v>0</v>
      </c>
      <c r="M50" s="486" t="str">
        <f>IF(L50=TRUE,"TRUE",IF(K50=1,"TRUE","FLASE"))</f>
        <v>FLASE</v>
      </c>
      <c r="N50" s="291" t="s">
        <v>519</v>
      </c>
      <c r="O50" s="271">
        <f>D9</f>
        <v>30</v>
      </c>
      <c r="P50" s="240" t="s">
        <v>301</v>
      </c>
      <c r="Q50" s="408">
        <f>(180+5*O50)/100</f>
        <v>3.3</v>
      </c>
      <c r="R50" s="14" t="s">
        <v>872</v>
      </c>
      <c r="S50" s="16">
        <f>O50*5+10</f>
        <v>160</v>
      </c>
    </row>
    <row r="51" spans="2:19" ht="14.25" thickBot="1">
      <c r="B51" s="1187" t="s">
        <v>877</v>
      </c>
      <c r="C51" s="1188"/>
      <c r="D51" s="1189"/>
      <c r="I51" s="1244" t="s">
        <v>989</v>
      </c>
      <c r="J51" s="1245"/>
      <c r="K51" s="469"/>
      <c r="L51" s="486" t="b">
        <v>0</v>
      </c>
      <c r="M51" s="486" t="str">
        <f>IF(L51=TRUE,"TRUE",IF(K51=1,"TRUE","FLASE"))</f>
        <v>FLASE</v>
      </c>
      <c r="N51" s="1342" t="s">
        <v>1050</v>
      </c>
      <c r="O51" s="1471"/>
      <c r="P51" s="310">
        <f>60/S50</f>
        <v>0.375</v>
      </c>
      <c r="Q51" s="1469" t="s">
        <v>1068</v>
      </c>
      <c r="R51" s="1470"/>
      <c r="S51" s="83">
        <v>20</v>
      </c>
    </row>
    <row r="52" spans="2:16" ht="14.25" thickBot="1">
      <c r="B52" s="1194">
        <v>0</v>
      </c>
      <c r="C52" s="1195"/>
      <c r="D52" s="1196"/>
      <c r="I52" s="1240" t="s">
        <v>854</v>
      </c>
      <c r="J52" s="1241"/>
      <c r="K52" s="206">
        <f>IF(M50="TRUE",1.04,IF(M51="TRUE",1.02,1))</f>
        <v>1</v>
      </c>
      <c r="L52" s="333"/>
      <c r="M52" s="333"/>
      <c r="N52" s="1227" t="str">
        <f>IF($L$22="true","氷弱点","通常")</f>
        <v>通常</v>
      </c>
      <c r="O52" s="292" t="s">
        <v>1043</v>
      </c>
      <c r="P52" s="4">
        <f>MIN(INT(($N$4*Q50)*(1+$B$34+$E$34+$B$52+$K$35)*$D$26*IF($L$22="true",1.5,1)),ReadMe!$M$99)</f>
        <v>40233</v>
      </c>
    </row>
    <row r="53" spans="14:16" ht="14.25" thickBot="1">
      <c r="N53" s="1228"/>
      <c r="O53" s="7" t="s">
        <v>1044</v>
      </c>
      <c r="P53" s="44">
        <f>INT((P52+P54)/2)</f>
        <v>46938</v>
      </c>
    </row>
    <row r="54" spans="2:16" ht="14.25" thickBot="1">
      <c r="B54" s="1201" t="s">
        <v>265</v>
      </c>
      <c r="C54" s="1202"/>
      <c r="D54" s="1202"/>
      <c r="E54" s="1202"/>
      <c r="F54" s="1202"/>
      <c r="G54" s="1202"/>
      <c r="H54" s="1202"/>
      <c r="I54" s="1202"/>
      <c r="J54" s="1202"/>
      <c r="K54" s="1202"/>
      <c r="L54" s="1203"/>
      <c r="N54" s="1229"/>
      <c r="O54" s="14" t="s">
        <v>1045</v>
      </c>
      <c r="P54" s="143">
        <f>MIN(INT(($P$4*Q50)*(1+$B$34+$E$34+$B$52+$K$35)*$D$26*IF($L$22="true",1.5,1)),ReadMe!$M$99)</f>
        <v>53644</v>
      </c>
    </row>
    <row r="55" spans="2:12" ht="14.25" thickBot="1">
      <c r="B55" s="1268" t="s">
        <v>538</v>
      </c>
      <c r="C55" s="1269"/>
      <c r="D55" s="1270"/>
      <c r="E55" s="1270"/>
      <c r="F55" s="1270"/>
      <c r="G55" s="1270"/>
      <c r="H55" s="1270"/>
      <c r="I55" s="1270"/>
      <c r="J55" s="1270"/>
      <c r="K55" s="1271"/>
      <c r="L55" s="1272"/>
    </row>
    <row r="56" spans="2:19" ht="14.25" thickBot="1">
      <c r="B56" s="1273" t="s">
        <v>539</v>
      </c>
      <c r="C56" s="1274"/>
      <c r="D56" s="1275"/>
      <c r="E56" s="1275"/>
      <c r="F56" s="1275"/>
      <c r="G56" s="1275"/>
      <c r="H56" s="1275"/>
      <c r="I56" s="1275"/>
      <c r="J56" s="1275"/>
      <c r="K56" s="1276"/>
      <c r="L56" s="1277"/>
      <c r="N56" s="1237" t="s">
        <v>1405</v>
      </c>
      <c r="O56" s="1238"/>
      <c r="P56" s="1386"/>
      <c r="Q56" s="1386"/>
      <c r="R56" s="1386"/>
      <c r="S56" s="1239"/>
    </row>
    <row r="57" spans="2:18" ht="14.25" thickBot="1">
      <c r="B57" s="1273" t="s">
        <v>1097</v>
      </c>
      <c r="C57" s="1274"/>
      <c r="D57" s="1275"/>
      <c r="E57" s="1275"/>
      <c r="F57" s="1275"/>
      <c r="G57" s="1275"/>
      <c r="H57" s="1275"/>
      <c r="I57" s="1275"/>
      <c r="J57" s="1275"/>
      <c r="K57" s="1276"/>
      <c r="L57" s="1277"/>
      <c r="N57" s="465" t="s">
        <v>310</v>
      </c>
      <c r="O57" s="463">
        <v>0.75</v>
      </c>
      <c r="P57" s="1305" t="s">
        <v>1051</v>
      </c>
      <c r="Q57" s="1306"/>
      <c r="R57" s="313" t="s">
        <v>164</v>
      </c>
    </row>
    <row r="58" spans="2:19" ht="14.25" thickBot="1">
      <c r="B58" s="1273" t="s">
        <v>1098</v>
      </c>
      <c r="C58" s="1274"/>
      <c r="D58" s="1275"/>
      <c r="E58" s="1275"/>
      <c r="F58" s="1275"/>
      <c r="G58" s="1275"/>
      <c r="H58" s="1275"/>
      <c r="I58" s="1275"/>
      <c r="J58" s="1275"/>
      <c r="K58" s="1276"/>
      <c r="L58" s="1277"/>
      <c r="N58" s="1342" t="s">
        <v>1294</v>
      </c>
      <c r="O58" s="1343"/>
      <c r="P58" s="694">
        <v>1</v>
      </c>
      <c r="Q58" s="1465" t="s">
        <v>1334</v>
      </c>
      <c r="R58" s="1466"/>
      <c r="S58" s="313">
        <v>1</v>
      </c>
    </row>
    <row r="59" spans="2:19" ht="13.5">
      <c r="B59" s="1273" t="s">
        <v>680</v>
      </c>
      <c r="C59" s="1274"/>
      <c r="D59" s="1275"/>
      <c r="E59" s="1275"/>
      <c r="F59" s="1275"/>
      <c r="G59" s="1275"/>
      <c r="H59" s="1275"/>
      <c r="I59" s="1275"/>
      <c r="J59" s="1275"/>
      <c r="K59" s="1276"/>
      <c r="L59" s="1277"/>
      <c r="N59" s="1227" t="s">
        <v>327</v>
      </c>
      <c r="O59" s="76" t="s">
        <v>257</v>
      </c>
      <c r="P59" s="521">
        <f>MIN(INT(($R$4*P58)*(1+$B$34+$E$34+$B$52+$K$35)*$D$26*IF(R57="氷",$N$5,$O$5)),ReadMe!$M$99)</f>
        <v>9143</v>
      </c>
      <c r="Q59" s="1234" t="s">
        <v>725</v>
      </c>
      <c r="R59" s="186" t="s">
        <v>257</v>
      </c>
      <c r="S59" s="155">
        <f>MIN(INT(P59*$E$41),ReadMe!$M$99)</f>
        <v>10971</v>
      </c>
    </row>
    <row r="60" spans="2:19" ht="14.25" thickBot="1">
      <c r="B60" s="1263" t="s">
        <v>681</v>
      </c>
      <c r="C60" s="1264"/>
      <c r="D60" s="1265"/>
      <c r="E60" s="1265"/>
      <c r="F60" s="1265"/>
      <c r="G60" s="1265"/>
      <c r="H60" s="1265"/>
      <c r="I60" s="1265"/>
      <c r="J60" s="1265"/>
      <c r="K60" s="1266"/>
      <c r="L60" s="1267"/>
      <c r="N60" s="1228"/>
      <c r="O60" s="43" t="s">
        <v>258</v>
      </c>
      <c r="P60" s="522">
        <f>INT((P59+P61)/2)</f>
        <v>10667</v>
      </c>
      <c r="Q60" s="1235"/>
      <c r="R60" s="79" t="s">
        <v>258</v>
      </c>
      <c r="S60" s="156">
        <f>MIN(INT(P60*(($E$41+$F$41)/2)),ReadMe!$M$99)</f>
        <v>14400</v>
      </c>
    </row>
    <row r="61" spans="14:19" ht="14.25" thickBot="1">
      <c r="N61" s="1229"/>
      <c r="O61" s="15" t="s">
        <v>259</v>
      </c>
      <c r="P61" s="523">
        <f>MIN(INT(($T$4*P58)*(1+$B$34+$E$34+$B$52+$K$35)*$D$26*IF(R57="氷",$N$5,$O$5)),ReadMe!$M$99)</f>
        <v>12191</v>
      </c>
      <c r="Q61" s="1236"/>
      <c r="R61" s="86" t="s">
        <v>259</v>
      </c>
      <c r="S61" s="157">
        <f>MIN(INT(P61*$F$41),ReadMe!$M$99)</f>
        <v>18286</v>
      </c>
    </row>
    <row r="62" spans="14:19" ht="14.25" thickBot="1">
      <c r="N62" s="1302" t="s">
        <v>323</v>
      </c>
      <c r="O62" s="1303"/>
      <c r="P62" s="1304"/>
      <c r="Q62" s="1302">
        <f>INT(P60*(1-$G$41)+S60*$G$41)</f>
        <v>10853</v>
      </c>
      <c r="R62" s="1303"/>
      <c r="S62" s="1304"/>
    </row>
    <row r="63" spans="14:19" ht="14.25" thickBot="1">
      <c r="N63" s="1302" t="s">
        <v>726</v>
      </c>
      <c r="O63" s="1303"/>
      <c r="P63" s="1304"/>
      <c r="Q63" s="1489">
        <f>Q62*S58</f>
        <v>10853</v>
      </c>
      <c r="R63" s="1463"/>
      <c r="S63" s="1464"/>
    </row>
  </sheetData>
  <sheetProtection/>
  <protectedRanges>
    <protectedRange sqref="D45:D46 D48" name="範囲1_1_1"/>
  </protectedRanges>
  <mergeCells count="128">
    <mergeCell ref="X3:Z3"/>
    <mergeCell ref="W6:X6"/>
    <mergeCell ref="Y6:Z6"/>
    <mergeCell ref="B23:C23"/>
    <mergeCell ref="N7:O7"/>
    <mergeCell ref="Y15:Z15"/>
    <mergeCell ref="T13:T15"/>
    <mergeCell ref="U13:U15"/>
    <mergeCell ref="N13:N15"/>
    <mergeCell ref="Q13:Q15"/>
    <mergeCell ref="N52:N54"/>
    <mergeCell ref="N11:T11"/>
    <mergeCell ref="B47:C47"/>
    <mergeCell ref="B36:D36"/>
    <mergeCell ref="E33:F33"/>
    <mergeCell ref="B37:D37"/>
    <mergeCell ref="I45:K45"/>
    <mergeCell ref="B27:C27"/>
    <mergeCell ref="R12:S12"/>
    <mergeCell ref="I37:K37"/>
    <mergeCell ref="B55:L55"/>
    <mergeCell ref="B41:D41"/>
    <mergeCell ref="B42:D42"/>
    <mergeCell ref="B38:C38"/>
    <mergeCell ref="I52:J52"/>
    <mergeCell ref="E48:F48"/>
    <mergeCell ref="B48:C48"/>
    <mergeCell ref="B54:L54"/>
    <mergeCell ref="E47:F47"/>
    <mergeCell ref="B52:D52"/>
    <mergeCell ref="B32:D32"/>
    <mergeCell ref="I43:J43"/>
    <mergeCell ref="I34:K34"/>
    <mergeCell ref="N2:P2"/>
    <mergeCell ref="E42:G42"/>
    <mergeCell ref="E32:F32"/>
    <mergeCell ref="N40:R40"/>
    <mergeCell ref="R43:S43"/>
    <mergeCell ref="S40:U40"/>
    <mergeCell ref="N42:U42"/>
    <mergeCell ref="B51:D51"/>
    <mergeCell ref="I38:K38"/>
    <mergeCell ref="B40:D40"/>
    <mergeCell ref="N6:U6"/>
    <mergeCell ref="B31:D31"/>
    <mergeCell ref="E31:F31"/>
    <mergeCell ref="Q31:R31"/>
    <mergeCell ref="S31:U33"/>
    <mergeCell ref="Q33:R33"/>
    <mergeCell ref="N28:N30"/>
    <mergeCell ref="F1:P1"/>
    <mergeCell ref="N21:N23"/>
    <mergeCell ref="B30:K30"/>
    <mergeCell ref="N8:O8"/>
    <mergeCell ref="N18:T18"/>
    <mergeCell ref="N9:O9"/>
    <mergeCell ref="T7:U7"/>
    <mergeCell ref="T8:U9"/>
    <mergeCell ref="N26:U26"/>
    <mergeCell ref="Q28:Q30"/>
    <mergeCell ref="B60:L60"/>
    <mergeCell ref="B59:L59"/>
    <mergeCell ref="I50:J50"/>
    <mergeCell ref="B45:C45"/>
    <mergeCell ref="E45:F45"/>
    <mergeCell ref="I51:J51"/>
    <mergeCell ref="B57:L57"/>
    <mergeCell ref="B58:L58"/>
    <mergeCell ref="B56:L56"/>
    <mergeCell ref="I49:K49"/>
    <mergeCell ref="T28:T30"/>
    <mergeCell ref="U28:U30"/>
    <mergeCell ref="B2:C2"/>
    <mergeCell ref="B22:C22"/>
    <mergeCell ref="R2:T2"/>
    <mergeCell ref="B50:D50"/>
    <mergeCell ref="B46:C46"/>
    <mergeCell ref="E46:F46"/>
    <mergeCell ref="B33:D33"/>
    <mergeCell ref="B34:D34"/>
    <mergeCell ref="E34:F34"/>
    <mergeCell ref="B39:C39"/>
    <mergeCell ref="S44:T44"/>
    <mergeCell ref="N44:O44"/>
    <mergeCell ref="N45:N47"/>
    <mergeCell ref="Q45:Q47"/>
    <mergeCell ref="T45:T47"/>
    <mergeCell ref="U45:U47"/>
    <mergeCell ref="N59:N61"/>
    <mergeCell ref="Q59:Q61"/>
    <mergeCell ref="N56:S56"/>
    <mergeCell ref="P57:Q57"/>
    <mergeCell ref="N58:O58"/>
    <mergeCell ref="Q58:R58"/>
    <mergeCell ref="N49:S49"/>
    <mergeCell ref="N51:O51"/>
    <mergeCell ref="Q51:R51"/>
    <mergeCell ref="N63:P63"/>
    <mergeCell ref="Q63:S63"/>
    <mergeCell ref="N62:P62"/>
    <mergeCell ref="Q62:S62"/>
    <mergeCell ref="Y32:Z32"/>
    <mergeCell ref="Y31:Z31"/>
    <mergeCell ref="N31:N33"/>
    <mergeCell ref="U37:U39"/>
    <mergeCell ref="W32:X32"/>
    <mergeCell ref="W31:X31"/>
    <mergeCell ref="N35:U35"/>
    <mergeCell ref="R36:S36"/>
    <mergeCell ref="N37:N39"/>
    <mergeCell ref="W15:X15"/>
    <mergeCell ref="Y16:Z16"/>
    <mergeCell ref="Y23:Z23"/>
    <mergeCell ref="I41:J41"/>
    <mergeCell ref="Q37:Q39"/>
    <mergeCell ref="T37:T39"/>
    <mergeCell ref="Y24:Z24"/>
    <mergeCell ref="Q21:Q23"/>
    <mergeCell ref="T21:T23"/>
    <mergeCell ref="U21:U23"/>
    <mergeCell ref="W16:X16"/>
    <mergeCell ref="N24:R24"/>
    <mergeCell ref="S24:U24"/>
    <mergeCell ref="N16:R16"/>
    <mergeCell ref="R19:S19"/>
    <mergeCell ref="N20:O20"/>
    <mergeCell ref="S20:T20"/>
    <mergeCell ref="S16:U16"/>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1.xml><?xml version="1.0" encoding="utf-8"?>
<worksheet xmlns="http://schemas.openxmlformats.org/spreadsheetml/2006/main" xmlns:r="http://schemas.openxmlformats.org/officeDocument/2006/relationships">
  <dimension ref="A1:AB79"/>
  <sheetViews>
    <sheetView workbookViewId="0" topLeftCell="A1">
      <selection activeCell="H24" sqref="H24"/>
    </sheetView>
  </sheetViews>
  <sheetFormatPr defaultColWidth="9.00390625" defaultRowHeight="13.5"/>
  <cols>
    <col min="1" max="1" width="2.625" style="0" customWidth="1"/>
    <col min="2" max="11" width="5.625" style="0" customWidth="1"/>
    <col min="12" max="13" width="2.625" style="0" customWidth="1"/>
    <col min="22" max="22" width="1.625" style="0" customWidth="1"/>
  </cols>
  <sheetData>
    <row r="1" spans="6:16" ht="24.75" thickBot="1">
      <c r="F1" s="1223" t="s">
        <v>545</v>
      </c>
      <c r="G1" s="1223"/>
      <c r="H1" s="1223"/>
      <c r="I1" s="1223"/>
      <c r="J1" s="1223"/>
      <c r="K1" s="1223"/>
      <c r="L1" s="1223"/>
      <c r="M1" s="1223"/>
      <c r="N1" s="1223"/>
      <c r="O1" s="1223"/>
      <c r="P1" s="1223"/>
    </row>
    <row r="2" spans="2:20" ht="14.25" thickBot="1">
      <c r="B2" s="1153" t="s">
        <v>532</v>
      </c>
      <c r="C2" s="1154"/>
      <c r="D2" s="137">
        <v>150</v>
      </c>
      <c r="E2" s="1"/>
      <c r="F2" s="3" t="s">
        <v>527</v>
      </c>
      <c r="G2" s="3" t="s">
        <v>507</v>
      </c>
      <c r="H2" s="3" t="s">
        <v>508</v>
      </c>
      <c r="I2" s="3" t="s">
        <v>510</v>
      </c>
      <c r="J2" s="3" t="s">
        <v>509</v>
      </c>
      <c r="K2" s="4" t="s">
        <v>749</v>
      </c>
      <c r="N2" s="1224" t="s">
        <v>301</v>
      </c>
      <c r="O2" s="1225"/>
      <c r="P2" s="1226"/>
      <c r="Q2" s="57"/>
      <c r="R2" s="1224" t="s">
        <v>737</v>
      </c>
      <c r="S2" s="1225"/>
      <c r="T2" s="1226"/>
    </row>
    <row r="3" spans="2:20" ht="14.25" thickBot="1">
      <c r="B3" s="14" t="s">
        <v>241</v>
      </c>
      <c r="C3" s="538"/>
      <c r="D3" s="16">
        <f>((D2-1)*5+IF(D2&gt;=120,35,IF(D2&gt;=70,30,25)))-(G3+H3+J3+I3)</f>
        <v>0</v>
      </c>
      <c r="E3" s="7" t="s">
        <v>242</v>
      </c>
      <c r="F3" s="8"/>
      <c r="G3" s="8">
        <v>4</v>
      </c>
      <c r="H3" s="8">
        <v>4</v>
      </c>
      <c r="I3" s="8">
        <v>697</v>
      </c>
      <c r="J3" s="8">
        <v>75</v>
      </c>
      <c r="K3" s="9"/>
      <c r="N3" s="10" t="s">
        <v>270</v>
      </c>
      <c r="O3" s="11" t="s">
        <v>271</v>
      </c>
      <c r="P3" s="12" t="s">
        <v>272</v>
      </c>
      <c r="R3" s="10" t="s">
        <v>1288</v>
      </c>
      <c r="S3" s="11" t="s">
        <v>1289</v>
      </c>
      <c r="T3" s="12" t="s">
        <v>1290</v>
      </c>
    </row>
    <row r="4" spans="2:20" ht="14.25" thickBot="1">
      <c r="B4" s="149"/>
      <c r="C4" s="59"/>
      <c r="D4" s="150"/>
      <c r="E4" s="7" t="s">
        <v>243</v>
      </c>
      <c r="F4" s="8">
        <v>143</v>
      </c>
      <c r="G4" s="8"/>
      <c r="H4" s="8"/>
      <c r="I4" s="8">
        <v>14</v>
      </c>
      <c r="J4" s="8"/>
      <c r="K4" s="9"/>
      <c r="N4" s="14">
        <f>P4*0.55</f>
        <v>5415.1185000000005</v>
      </c>
      <c r="O4" s="15">
        <f>(P4+N4)/2</f>
        <v>7630.39425</v>
      </c>
      <c r="P4" s="16">
        <f>$Q$4*($F$29+INT(($F$29*($E$32+$K$52+$K$43-1))))/100</f>
        <v>9845.67</v>
      </c>
      <c r="Q4" s="402">
        <f>1*(4*$I$29+$J$29)</f>
        <v>3831</v>
      </c>
      <c r="R4" s="14">
        <f>N4*$G$48*(1-$G$45/100)</f>
        <v>4061.3388750000004</v>
      </c>
      <c r="S4" s="15">
        <f>O4*$G$48*(1-$G$45/100)</f>
        <v>5722.7956875</v>
      </c>
      <c r="T4" s="16">
        <f>P4*$G$48*(1-$G$45/100)</f>
        <v>7384.2525000000005</v>
      </c>
    </row>
    <row r="5" spans="2:22" ht="14.25" thickBot="1">
      <c r="B5" s="151" t="s">
        <v>546</v>
      </c>
      <c r="C5" s="690"/>
      <c r="D5" s="137">
        <v>30</v>
      </c>
      <c r="E5" s="42" t="s">
        <v>245</v>
      </c>
      <c r="F5" s="8">
        <v>18</v>
      </c>
      <c r="G5" s="8"/>
      <c r="H5" s="8"/>
      <c r="I5" s="8">
        <v>9</v>
      </c>
      <c r="J5" s="8"/>
      <c r="K5" s="9"/>
      <c r="V5" s="57"/>
    </row>
    <row r="6" spans="2:22" ht="14.25" thickBot="1">
      <c r="B6" s="7" t="s">
        <v>547</v>
      </c>
      <c r="C6" s="43"/>
      <c r="D6" s="9">
        <v>30</v>
      </c>
      <c r="E6" s="42" t="s">
        <v>246</v>
      </c>
      <c r="F6" s="8"/>
      <c r="G6" s="8">
        <v>10</v>
      </c>
      <c r="H6" s="8">
        <v>10</v>
      </c>
      <c r="I6" s="8">
        <v>20</v>
      </c>
      <c r="J6" s="8">
        <v>10</v>
      </c>
      <c r="K6" s="9"/>
      <c r="N6" s="1158" t="s">
        <v>281</v>
      </c>
      <c r="O6" s="1159"/>
      <c r="P6" s="1159"/>
      <c r="Q6" s="1159"/>
      <c r="R6" s="1159"/>
      <c r="S6" s="1159"/>
      <c r="T6" s="1159"/>
      <c r="U6" s="1160"/>
      <c r="V6" s="57"/>
    </row>
    <row r="7" spans="2:21" ht="14.25" thickBot="1">
      <c r="B7" s="7" t="s">
        <v>774</v>
      </c>
      <c r="C7" s="43"/>
      <c r="D7" s="9">
        <v>30</v>
      </c>
      <c r="E7" s="42" t="s">
        <v>247</v>
      </c>
      <c r="F7" s="8">
        <v>5</v>
      </c>
      <c r="G7" s="8"/>
      <c r="H7" s="8"/>
      <c r="I7" s="8"/>
      <c r="J7" s="8"/>
      <c r="K7" s="9"/>
      <c r="N7" s="1485" t="s">
        <v>765</v>
      </c>
      <c r="O7" s="1703"/>
      <c r="P7" s="396">
        <v>180</v>
      </c>
      <c r="Q7" s="10" t="s">
        <v>877</v>
      </c>
      <c r="R7" s="11"/>
      <c r="S7" s="241">
        <f>INT(D9/3)/100</f>
        <v>0.1</v>
      </c>
      <c r="T7" s="1459" t="s">
        <v>285</v>
      </c>
      <c r="U7" s="1536"/>
    </row>
    <row r="8" spans="2:28" ht="14.25" thickBot="1">
      <c r="B8" s="5" t="s">
        <v>1083</v>
      </c>
      <c r="C8" s="68"/>
      <c r="D8" s="279">
        <v>30</v>
      </c>
      <c r="E8" s="42" t="s">
        <v>248</v>
      </c>
      <c r="F8" s="8"/>
      <c r="G8" s="8"/>
      <c r="H8" s="8"/>
      <c r="I8" s="8">
        <v>7</v>
      </c>
      <c r="J8" s="8"/>
      <c r="K8" s="9"/>
      <c r="N8" s="1228" t="s">
        <v>872</v>
      </c>
      <c r="O8" s="1284"/>
      <c r="P8" s="41">
        <f>IF(D9=0,0,(10+D9)*(1+D26*0.05))</f>
        <v>60</v>
      </c>
      <c r="Q8" s="7" t="s">
        <v>282</v>
      </c>
      <c r="R8" s="43"/>
      <c r="S8" s="511">
        <f>S7*P9</f>
        <v>1.4000000000000001</v>
      </c>
      <c r="T8" s="1704">
        <f>(P8/P7)*S9</f>
        <v>0.23333333333333334</v>
      </c>
      <c r="U8" s="1705"/>
      <c r="V8" s="96"/>
      <c r="Z8" s="96"/>
      <c r="AB8" s="96"/>
    </row>
    <row r="9" spans="1:26" ht="14.25" thickBot="1">
      <c r="A9" s="402" t="b">
        <v>1</v>
      </c>
      <c r="B9" s="36" t="s">
        <v>293</v>
      </c>
      <c r="C9" s="605"/>
      <c r="D9" s="137">
        <v>30</v>
      </c>
      <c r="E9" s="42" t="s">
        <v>249</v>
      </c>
      <c r="F9" s="8"/>
      <c r="G9" s="8">
        <v>7</v>
      </c>
      <c r="H9" s="8">
        <v>7</v>
      </c>
      <c r="I9" s="8">
        <v>7</v>
      </c>
      <c r="J9" s="8">
        <v>7</v>
      </c>
      <c r="K9" s="9"/>
      <c r="N9" s="1229" t="s">
        <v>283</v>
      </c>
      <c r="O9" s="1515"/>
      <c r="P9" s="46">
        <f>MAX(INT(P8/4)-1,0)</f>
        <v>14</v>
      </c>
      <c r="Q9" s="14" t="s">
        <v>284</v>
      </c>
      <c r="R9" s="15"/>
      <c r="S9" s="28">
        <f>S8/2</f>
        <v>0.7000000000000001</v>
      </c>
      <c r="T9" s="1706"/>
      <c r="U9" s="1707"/>
      <c r="V9" s="57"/>
      <c r="Z9" s="59"/>
    </row>
    <row r="10" spans="1:26" ht="14.25" thickBot="1">
      <c r="A10" s="402" t="str">
        <f>IF(A9=TRUE,"TRUE",IF(D10=1,"TRUE","FLASE"))</f>
        <v>TRUE</v>
      </c>
      <c r="B10" s="14" t="s">
        <v>1099</v>
      </c>
      <c r="C10" s="15"/>
      <c r="D10" s="501"/>
      <c r="E10" s="42" t="s">
        <v>250</v>
      </c>
      <c r="F10" s="8">
        <v>16</v>
      </c>
      <c r="G10" s="8"/>
      <c r="H10" s="8"/>
      <c r="I10" s="8">
        <v>9</v>
      </c>
      <c r="J10" s="8"/>
      <c r="K10" s="9"/>
      <c r="T10" s="402">
        <f>IF(A10="true",1+T8,1)</f>
        <v>1.2333333333333334</v>
      </c>
      <c r="V10" s="57"/>
      <c r="Z10" s="61"/>
    </row>
    <row r="11" spans="2:26" ht="14.25" thickBot="1">
      <c r="B11" s="311" t="s">
        <v>59</v>
      </c>
      <c r="C11" s="312"/>
      <c r="D11" s="691"/>
      <c r="E11" s="7" t="s">
        <v>698</v>
      </c>
      <c r="F11" s="8"/>
      <c r="G11" s="8"/>
      <c r="H11" s="8"/>
      <c r="I11" s="8">
        <v>20</v>
      </c>
      <c r="J11" s="8">
        <v>10</v>
      </c>
      <c r="K11" s="9"/>
      <c r="N11" s="1158" t="s">
        <v>548</v>
      </c>
      <c r="O11" s="1159"/>
      <c r="P11" s="1159"/>
      <c r="Q11" s="1159"/>
      <c r="R11" s="1159"/>
      <c r="S11" s="1159"/>
      <c r="T11" s="1159"/>
      <c r="U11" s="1160"/>
      <c r="V11" s="57"/>
      <c r="Z11" s="57"/>
    </row>
    <row r="12" spans="1:26" ht="14.25" thickBot="1">
      <c r="A12" s="402" t="b">
        <v>1</v>
      </c>
      <c r="B12" s="311" t="s">
        <v>61</v>
      </c>
      <c r="C12" s="312"/>
      <c r="D12" s="200"/>
      <c r="E12" s="7" t="s">
        <v>587</v>
      </c>
      <c r="F12" s="8"/>
      <c r="G12" s="8"/>
      <c r="H12" s="8"/>
      <c r="I12" s="8"/>
      <c r="J12" s="8"/>
      <c r="K12" s="9"/>
      <c r="N12" s="142" t="s">
        <v>533</v>
      </c>
      <c r="O12" s="65">
        <f>D5</f>
        <v>30</v>
      </c>
      <c r="P12" s="142" t="s">
        <v>301</v>
      </c>
      <c r="Q12" s="601">
        <f>(720+6*O12)/100</f>
        <v>9</v>
      </c>
      <c r="R12" s="1668" t="s">
        <v>415</v>
      </c>
      <c r="S12" s="1669"/>
      <c r="T12" s="174">
        <v>74</v>
      </c>
      <c r="U12" s="138"/>
      <c r="V12" s="57"/>
      <c r="Z12" s="57"/>
    </row>
    <row r="13" spans="1:26" ht="14.25" thickBot="1">
      <c r="A13" s="402" t="str">
        <f>IF(A12=TRUE,"TRUE",IF(D13=1,"TRUE","FLASE"))</f>
        <v>TRUE</v>
      </c>
      <c r="B13" s="311" t="s">
        <v>60</v>
      </c>
      <c r="C13" s="312"/>
      <c r="D13" s="592"/>
      <c r="E13" s="7" t="s">
        <v>697</v>
      </c>
      <c r="F13" s="8"/>
      <c r="G13" s="8"/>
      <c r="H13" s="8"/>
      <c r="I13" s="8"/>
      <c r="J13" s="8"/>
      <c r="K13" s="9"/>
      <c r="N13" s="1346" t="s">
        <v>529</v>
      </c>
      <c r="O13" s="134" t="s">
        <v>257</v>
      </c>
      <c r="P13" s="144">
        <f>MIN(INT(P17*1.5),ReadMe!$M$99)</f>
        <v>54828</v>
      </c>
      <c r="Q13" s="1699" t="s">
        <v>529</v>
      </c>
      <c r="R13" s="87" t="s">
        <v>257</v>
      </c>
      <c r="S13" s="155">
        <f>MIN(INT(P13*$E$41),ReadMe!$M$99)</f>
        <v>65793</v>
      </c>
      <c r="T13" s="1702" t="s">
        <v>529</v>
      </c>
      <c r="U13" s="1556">
        <f>INT(P14*(1-($G$41))+S14*($G$41))</f>
        <v>92128</v>
      </c>
      <c r="V13" s="57"/>
      <c r="Z13" s="59"/>
    </row>
    <row r="14" spans="2:26" ht="13.5" customHeight="1" thickBot="1">
      <c r="B14" s="218"/>
      <c r="C14" s="397"/>
      <c r="D14" s="219"/>
      <c r="E14" s="42" t="s">
        <v>260</v>
      </c>
      <c r="F14" s="8"/>
      <c r="G14" s="8"/>
      <c r="H14" s="8"/>
      <c r="I14" s="8">
        <v>8</v>
      </c>
      <c r="J14" s="8">
        <v>8</v>
      </c>
      <c r="K14" s="9"/>
      <c r="N14" s="1347"/>
      <c r="O14" s="43" t="s">
        <v>258</v>
      </c>
      <c r="P14" s="62">
        <f>MIN(INT(P18*1.5),ReadMe!$M$99)</f>
        <v>77257</v>
      </c>
      <c r="Q14" s="1700"/>
      <c r="R14" s="79" t="s">
        <v>258</v>
      </c>
      <c r="S14" s="156">
        <f>MIN(INT(P14*(($E$41+$F$41)/2)),ReadMe!$M$99)</f>
        <v>104296</v>
      </c>
      <c r="T14" s="1635"/>
      <c r="U14" s="1557"/>
      <c r="V14" s="57"/>
      <c r="W14" s="1694" t="s">
        <v>1086</v>
      </c>
      <c r="X14" s="1708"/>
      <c r="Y14" s="1695"/>
      <c r="Z14" s="61"/>
    </row>
    <row r="15" spans="2:26" ht="14.25" thickBot="1">
      <c r="B15" s="22"/>
      <c r="C15" s="21"/>
      <c r="D15" s="138"/>
      <c r="E15" s="42" t="s">
        <v>261</v>
      </c>
      <c r="F15" s="8">
        <v>8</v>
      </c>
      <c r="G15" s="8"/>
      <c r="H15" s="8"/>
      <c r="I15" s="8">
        <v>8</v>
      </c>
      <c r="J15" s="8"/>
      <c r="K15" s="9"/>
      <c r="N15" s="1348"/>
      <c r="O15" s="15" t="s">
        <v>259</v>
      </c>
      <c r="P15" s="145">
        <f>MIN(INT(P19*1.5),ReadMe!$M$99)</f>
        <v>99687</v>
      </c>
      <c r="Q15" s="175" t="s">
        <v>549</v>
      </c>
      <c r="R15" s="86" t="s">
        <v>259</v>
      </c>
      <c r="S15" s="157">
        <f>MIN(INT(P15*$F$41),ReadMe!$M$99)</f>
        <v>149530</v>
      </c>
      <c r="T15" s="176" t="s">
        <v>335</v>
      </c>
      <c r="U15" s="1558"/>
      <c r="V15" s="57"/>
      <c r="W15" s="1497" t="s">
        <v>1087</v>
      </c>
      <c r="X15" s="1498"/>
      <c r="Y15" s="1499"/>
      <c r="Z15" s="57"/>
    </row>
    <row r="16" spans="2:26" ht="14.25" thickBot="1">
      <c r="B16" s="22"/>
      <c r="C16" s="21"/>
      <c r="D16" s="138"/>
      <c r="E16" s="42" t="s">
        <v>262</v>
      </c>
      <c r="F16" s="8">
        <v>5</v>
      </c>
      <c r="G16" s="8"/>
      <c r="H16" s="8"/>
      <c r="I16" s="8">
        <v>8</v>
      </c>
      <c r="J16" s="8"/>
      <c r="K16" s="9"/>
      <c r="N16" s="1342" t="s">
        <v>292</v>
      </c>
      <c r="O16" s="1420"/>
      <c r="P16" s="1420"/>
      <c r="Q16" s="1459"/>
      <c r="R16" s="1459"/>
      <c r="S16" s="1670">
        <f>(U13*T12*$T$10+IF($A$13="true",$S$31,0))*$G$47</f>
        <v>10276626.666666668</v>
      </c>
      <c r="T16" s="1478"/>
      <c r="U16" s="1479"/>
      <c r="V16" s="57"/>
      <c r="W16" s="1475">
        <f>INT(S16-U13*$P$68)+$S$70*$S$68</f>
        <v>11628826</v>
      </c>
      <c r="X16" s="1476"/>
      <c r="Y16" s="1709"/>
      <c r="Z16" s="57"/>
    </row>
    <row r="17" spans="2:26" ht="13.5">
      <c r="B17" s="136"/>
      <c r="C17" s="57"/>
      <c r="D17" s="139"/>
      <c r="E17" s="42" t="s">
        <v>5</v>
      </c>
      <c r="F17" s="8"/>
      <c r="G17" s="8">
        <v>3</v>
      </c>
      <c r="H17" s="8">
        <v>3</v>
      </c>
      <c r="I17" s="8">
        <v>3</v>
      </c>
      <c r="J17" s="8">
        <v>3</v>
      </c>
      <c r="K17" s="9"/>
      <c r="N17" s="1227" t="s">
        <v>327</v>
      </c>
      <c r="O17" s="76" t="s">
        <v>257</v>
      </c>
      <c r="P17" s="521">
        <f>MIN(INT(($R$4*Q12)*(1+$B$34+$E$34+$B$52+$K$35)),ReadMe!$M$99)</f>
        <v>36552</v>
      </c>
      <c r="Q17" s="1234" t="s">
        <v>725</v>
      </c>
      <c r="R17" s="186" t="s">
        <v>257</v>
      </c>
      <c r="S17" s="155">
        <f>MIN(INT(P17*$E$41),ReadMe!$M$99)</f>
        <v>43862</v>
      </c>
      <c r="T17" s="1564" t="s">
        <v>323</v>
      </c>
      <c r="U17" s="1634">
        <f>INT(P18*(1-($G$41))+S18*($G$41))</f>
        <v>61419</v>
      </c>
      <c r="V17" s="57"/>
      <c r="W17" s="311"/>
      <c r="X17" s="312"/>
      <c r="Y17" s="200"/>
      <c r="Z17" s="59"/>
    </row>
    <row r="18" spans="2:26" ht="14.25" thickBot="1">
      <c r="B18" s="136"/>
      <c r="C18" s="57"/>
      <c r="D18" s="139"/>
      <c r="E18" s="42" t="s">
        <v>5</v>
      </c>
      <c r="F18" s="8">
        <v>1</v>
      </c>
      <c r="G18" s="8">
        <v>1</v>
      </c>
      <c r="H18" s="8">
        <v>1</v>
      </c>
      <c r="I18" s="8">
        <v>1</v>
      </c>
      <c r="J18" s="8">
        <v>1</v>
      </c>
      <c r="K18" s="9"/>
      <c r="N18" s="1228"/>
      <c r="O18" s="43" t="s">
        <v>258</v>
      </c>
      <c r="P18" s="522">
        <f>INT((P17+P19)/2)</f>
        <v>51505</v>
      </c>
      <c r="Q18" s="1235"/>
      <c r="R18" s="79" t="s">
        <v>258</v>
      </c>
      <c r="S18" s="156">
        <f>MIN(INT(P18*(($E$41+$F$41)/2)),ReadMe!$M$99)</f>
        <v>69531</v>
      </c>
      <c r="T18" s="1565"/>
      <c r="U18" s="1557"/>
      <c r="V18" s="57"/>
      <c r="W18" s="311"/>
      <c r="X18" s="312"/>
      <c r="Y18" s="200"/>
      <c r="Z18" s="59"/>
    </row>
    <row r="19" spans="1:26" ht="14.25" thickBot="1">
      <c r="A19" s="57"/>
      <c r="B19" s="136"/>
      <c r="C19" s="57"/>
      <c r="D19" s="139"/>
      <c r="E19" s="42" t="s">
        <v>5</v>
      </c>
      <c r="F19" s="8">
        <v>1</v>
      </c>
      <c r="G19" s="8">
        <v>1</v>
      </c>
      <c r="H19" s="8">
        <v>1</v>
      </c>
      <c r="I19" s="8">
        <v>1</v>
      </c>
      <c r="J19" s="8">
        <v>1</v>
      </c>
      <c r="K19" s="9"/>
      <c r="N19" s="1229"/>
      <c r="O19" s="15" t="s">
        <v>259</v>
      </c>
      <c r="P19" s="523">
        <f>MIN(INT(($T$4*Q12)*(1+$B$34+$E$34+$B$52+$K$35)),ReadMe!$M$99)</f>
        <v>66458</v>
      </c>
      <c r="Q19" s="1236"/>
      <c r="R19" s="86" t="s">
        <v>259</v>
      </c>
      <c r="S19" s="157">
        <f>MIN(INT(P19*$F$41),ReadMe!$M$99)</f>
        <v>99687</v>
      </c>
      <c r="T19" s="1565"/>
      <c r="U19" s="1557"/>
      <c r="V19" s="57"/>
      <c r="W19" s="1497" t="s">
        <v>1088</v>
      </c>
      <c r="X19" s="1498"/>
      <c r="Y19" s="1499"/>
      <c r="Z19" s="59"/>
    </row>
    <row r="20" spans="1:26" ht="14.25" thickBot="1">
      <c r="A20" s="57"/>
      <c r="B20" s="136"/>
      <c r="C20" s="57"/>
      <c r="D20" s="139"/>
      <c r="E20" s="42" t="s">
        <v>5</v>
      </c>
      <c r="F20" s="8"/>
      <c r="G20" s="8"/>
      <c r="H20" s="8"/>
      <c r="I20" s="8"/>
      <c r="J20" s="8"/>
      <c r="K20" s="9"/>
      <c r="N20" s="1342" t="s">
        <v>291</v>
      </c>
      <c r="O20" s="1420"/>
      <c r="P20" s="1420"/>
      <c r="Q20" s="1420"/>
      <c r="R20" s="1420"/>
      <c r="S20" s="1670">
        <f>(U17*T12*$T$10+IF($A$13="true",$S$31,0))*$G$47</f>
        <v>7473918.600000001</v>
      </c>
      <c r="T20" s="1478"/>
      <c r="U20" s="1479"/>
      <c r="V20" s="57"/>
      <c r="W20" s="1477">
        <f>INT(S20-U17*$P$68)+$Q$70*$S$68*$G$47</f>
        <v>8375384</v>
      </c>
      <c r="X20" s="1478"/>
      <c r="Y20" s="1479"/>
      <c r="Z20" s="59"/>
    </row>
    <row r="21" spans="1:26" ht="13.5">
      <c r="A21" s="57"/>
      <c r="B21" s="136"/>
      <c r="C21" s="57"/>
      <c r="D21" s="139"/>
      <c r="E21" s="42" t="s">
        <v>1305</v>
      </c>
      <c r="F21" s="8"/>
      <c r="G21" s="8">
        <v>2</v>
      </c>
      <c r="H21" s="8">
        <v>2</v>
      </c>
      <c r="I21" s="8">
        <v>2</v>
      </c>
      <c r="J21" s="8">
        <v>2</v>
      </c>
      <c r="K21" s="9"/>
      <c r="N21" s="1227" t="s">
        <v>528</v>
      </c>
      <c r="O21" s="134" t="s">
        <v>257</v>
      </c>
      <c r="P21" s="144">
        <f>MIN(INT(P17*0.5),ReadMe!$M$99)</f>
        <v>18276</v>
      </c>
      <c r="Q21" s="1700" t="s">
        <v>529</v>
      </c>
      <c r="R21" s="78" t="s">
        <v>257</v>
      </c>
      <c r="S21" s="613">
        <f>MIN(INT(P21*$E$41),ReadMe!$M$99)</f>
        <v>21931</v>
      </c>
      <c r="T21" s="1702" t="s">
        <v>529</v>
      </c>
      <c r="U21" s="1634">
        <f>INT(P22*(1-($G$41))+S22*($G$41))</f>
        <v>30709</v>
      </c>
      <c r="V21" s="57"/>
      <c r="W21" s="311"/>
      <c r="X21" s="312"/>
      <c r="Y21" s="200"/>
      <c r="Z21" s="59"/>
    </row>
    <row r="22" spans="1:26" ht="14.25" thickBot="1">
      <c r="A22" s="57"/>
      <c r="B22" s="136"/>
      <c r="C22" s="57"/>
      <c r="D22" s="139"/>
      <c r="E22" s="42" t="s">
        <v>1307</v>
      </c>
      <c r="F22" s="8"/>
      <c r="G22" s="8">
        <v>3</v>
      </c>
      <c r="H22" s="8">
        <v>3</v>
      </c>
      <c r="I22" s="8">
        <v>3</v>
      </c>
      <c r="J22" s="8">
        <v>3</v>
      </c>
      <c r="K22" s="9">
        <v>20</v>
      </c>
      <c r="N22" s="1228"/>
      <c r="O22" s="43" t="s">
        <v>258</v>
      </c>
      <c r="P22" s="62">
        <f>MIN(INT(P18*0.5),ReadMe!$M$99)</f>
        <v>25752</v>
      </c>
      <c r="Q22" s="1700"/>
      <c r="R22" s="79" t="s">
        <v>258</v>
      </c>
      <c r="S22" s="156">
        <f>MIN(INT(P22*(($E$41+$F$41)/2)),ReadMe!$M$99)</f>
        <v>34765</v>
      </c>
      <c r="T22" s="1635"/>
      <c r="U22" s="1557"/>
      <c r="V22" s="59"/>
      <c r="W22" s="311"/>
      <c r="X22" s="312"/>
      <c r="Y22" s="200"/>
      <c r="Z22" s="59"/>
    </row>
    <row r="23" spans="1:26" ht="14.25" thickBot="1">
      <c r="A23" s="648"/>
      <c r="B23" s="136"/>
      <c r="C23" s="57"/>
      <c r="D23" s="473"/>
      <c r="E23" s="42" t="s">
        <v>181</v>
      </c>
      <c r="F23" s="8"/>
      <c r="G23" s="8"/>
      <c r="H23" s="8"/>
      <c r="I23" s="8"/>
      <c r="J23" s="8"/>
      <c r="K23" s="9"/>
      <c r="N23" s="1229"/>
      <c r="O23" s="15" t="s">
        <v>259</v>
      </c>
      <c r="P23" s="145">
        <f>MIN(INT(P19*0.5),ReadMe!$M$99)</f>
        <v>33229</v>
      </c>
      <c r="Q23" s="175" t="s">
        <v>549</v>
      </c>
      <c r="R23" s="86" t="s">
        <v>259</v>
      </c>
      <c r="S23" s="157">
        <f>MIN(INT(P23*$F$41),ReadMe!$M$99)</f>
        <v>49843</v>
      </c>
      <c r="T23" s="176" t="s">
        <v>335</v>
      </c>
      <c r="U23" s="1557"/>
      <c r="V23" s="96"/>
      <c r="W23" s="1497" t="s">
        <v>1089</v>
      </c>
      <c r="X23" s="1498"/>
      <c r="Y23" s="1499"/>
      <c r="Z23" s="59"/>
    </row>
    <row r="24" spans="1:26" ht="14.25" thickBot="1">
      <c r="A24" s="648"/>
      <c r="B24" s="136"/>
      <c r="C24" s="57"/>
      <c r="D24" s="139"/>
      <c r="E24" s="42" t="s">
        <v>13</v>
      </c>
      <c r="F24" s="8"/>
      <c r="G24" s="8"/>
      <c r="H24" s="8"/>
      <c r="I24" s="8"/>
      <c r="J24" s="8"/>
      <c r="K24" s="9"/>
      <c r="N24" s="1342" t="s">
        <v>724</v>
      </c>
      <c r="O24" s="1420"/>
      <c r="P24" s="1420"/>
      <c r="Q24" s="1459"/>
      <c r="R24" s="1459"/>
      <c r="S24" s="1670">
        <f>(U21*T12*$T$10+IF($A$13="true",$S$31,0))*$G$47</f>
        <v>4671119.266666668</v>
      </c>
      <c r="T24" s="1478"/>
      <c r="U24" s="1479"/>
      <c r="V24" s="57"/>
      <c r="W24" s="1475">
        <f>INT(S24-U21*$P$68)+$O$70*$S$68</f>
        <v>5121852</v>
      </c>
      <c r="X24" s="1476"/>
      <c r="Y24" s="1709"/>
      <c r="Z24" s="59"/>
    </row>
    <row r="25" spans="2:26" ht="14.25" customHeight="1" thickBot="1">
      <c r="B25" s="47"/>
      <c r="C25" s="491"/>
      <c r="D25" s="220"/>
      <c r="E25" s="42" t="s">
        <v>1153</v>
      </c>
      <c r="F25" s="8"/>
      <c r="G25" s="8"/>
      <c r="H25" s="8"/>
      <c r="I25" s="8"/>
      <c r="J25" s="8"/>
      <c r="K25" s="9"/>
      <c r="Z25" s="61"/>
    </row>
    <row r="26" spans="2:21" ht="14.25" thickBot="1">
      <c r="B26" s="603" t="s">
        <v>557</v>
      </c>
      <c r="C26" s="604"/>
      <c r="D26" s="356">
        <v>10</v>
      </c>
      <c r="E26" s="7" t="s">
        <v>714</v>
      </c>
      <c r="F26" s="8"/>
      <c r="G26" s="8"/>
      <c r="H26" s="8"/>
      <c r="I26" s="8"/>
      <c r="J26" s="8"/>
      <c r="K26" s="9"/>
      <c r="N26" s="1158" t="s">
        <v>290</v>
      </c>
      <c r="O26" s="1159"/>
      <c r="P26" s="1159"/>
      <c r="Q26" s="1159"/>
      <c r="R26" s="1159"/>
      <c r="S26" s="1159"/>
      <c r="T26" s="1159"/>
      <c r="U26" s="1160"/>
    </row>
    <row r="27" spans="2:21" ht="14.25" thickBot="1">
      <c r="B27" s="1428" t="s">
        <v>544</v>
      </c>
      <c r="C27" s="1429"/>
      <c r="D27" s="20">
        <v>9</v>
      </c>
      <c r="E27" s="216" t="s">
        <v>1310</v>
      </c>
      <c r="F27" s="8">
        <v>20</v>
      </c>
      <c r="G27" s="40">
        <f>ROUNDDOWN(G3*D28%,0)</f>
        <v>0</v>
      </c>
      <c r="H27" s="40">
        <f>ROUNDDOWN(H3*D28%,0)</f>
        <v>0</v>
      </c>
      <c r="I27" s="40">
        <f>ROUNDDOWN(I3*D28%,0)</f>
        <v>34</v>
      </c>
      <c r="J27" s="40">
        <f>ROUNDDOWN(J3*D28%,0)</f>
        <v>3</v>
      </c>
      <c r="K27" s="9">
        <f>SUM(K2:K25)+D28</f>
        <v>25</v>
      </c>
      <c r="N27" s="142" t="s">
        <v>519</v>
      </c>
      <c r="O27" s="65">
        <v>10</v>
      </c>
      <c r="P27" s="142" t="s">
        <v>301</v>
      </c>
      <c r="Q27" s="601">
        <v>3</v>
      </c>
      <c r="R27" s="1668" t="s">
        <v>415</v>
      </c>
      <c r="S27" s="1669"/>
      <c r="T27" s="224">
        <v>74</v>
      </c>
      <c r="U27" s="732" t="s">
        <v>1096</v>
      </c>
    </row>
    <row r="28" spans="2:21" ht="14.25" thickBot="1">
      <c r="B28" s="14" t="s">
        <v>263</v>
      </c>
      <c r="C28" s="538"/>
      <c r="D28" s="46">
        <f>ROUNDUP(D27/2,0)</f>
        <v>5</v>
      </c>
      <c r="E28" s="7" t="s">
        <v>264</v>
      </c>
      <c r="F28" s="43">
        <f>D29+10+D26*3</f>
        <v>40</v>
      </c>
      <c r="G28" s="43">
        <f>SUM(G4:G26)</f>
        <v>27</v>
      </c>
      <c r="H28" s="43">
        <f>SUM(H4:H26)</f>
        <v>27</v>
      </c>
      <c r="I28" s="43">
        <f>SUM(I4:I26)</f>
        <v>120</v>
      </c>
      <c r="J28" s="43">
        <f>SUM(J4:J26)</f>
        <v>45</v>
      </c>
      <c r="K28" s="588">
        <f>SUM(K3:K27)+D33</f>
        <v>45</v>
      </c>
      <c r="N28" s="1227" t="s">
        <v>327</v>
      </c>
      <c r="O28" s="76" t="s">
        <v>257</v>
      </c>
      <c r="P28" s="521">
        <f>MIN(INT(($R$4*Q27)*(1+$B$34+$E$34+$B$52+$K$35)),ReadMe!$M$99)</f>
        <v>12184</v>
      </c>
      <c r="Q28" s="1234" t="s">
        <v>725</v>
      </c>
      <c r="R28" s="186" t="s">
        <v>257</v>
      </c>
      <c r="S28" s="155">
        <f>MIN(INT(P28*$E$41),ReadMe!$M$99)</f>
        <v>14620</v>
      </c>
      <c r="T28" s="1564" t="s">
        <v>323</v>
      </c>
      <c r="U28" s="1556">
        <f>INT(P29*(1-$G$41)+S29*$G$41)</f>
        <v>20472</v>
      </c>
    </row>
    <row r="29" spans="2:21" ht="14.25" thickBot="1">
      <c r="B29" s="17" t="s">
        <v>1378</v>
      </c>
      <c r="C29" s="195"/>
      <c r="D29" s="313">
        <v>0</v>
      </c>
      <c r="E29" s="14" t="s">
        <v>256</v>
      </c>
      <c r="F29" s="48">
        <f>SUM(F4:F28)</f>
        <v>257</v>
      </c>
      <c r="G29" s="48">
        <f>INT((G3+G27+G28)*(1+G32))</f>
        <v>31</v>
      </c>
      <c r="H29" s="48">
        <f>INT((H3+H27+H28)*(1+H32))</f>
        <v>31</v>
      </c>
      <c r="I29" s="48">
        <f>INT((I3+I27+I28)*(1+I32))</f>
        <v>927</v>
      </c>
      <c r="J29" s="48">
        <f>INT((J3+J27+J28)*(1+J32))</f>
        <v>123</v>
      </c>
      <c r="K29" s="547">
        <f>($H$29*0.4+$J$29*0.8+$I$29*1.6+K28)*(1+$K$32)</f>
        <v>1639</v>
      </c>
      <c r="N29" s="1228"/>
      <c r="O29" s="43" t="s">
        <v>258</v>
      </c>
      <c r="P29" s="522">
        <f>INT((P28+P30)/2)</f>
        <v>17168</v>
      </c>
      <c r="Q29" s="1235"/>
      <c r="R29" s="79" t="s">
        <v>258</v>
      </c>
      <c r="S29" s="156">
        <f>MIN(INT(P29*(($E$41+$F$41)/2)),ReadMe!$M$99)</f>
        <v>23176</v>
      </c>
      <c r="T29" s="1565"/>
      <c r="U29" s="1557"/>
    </row>
    <row r="30" spans="2:21" ht="14.25" thickBot="1">
      <c r="B30" s="1305" t="s">
        <v>981</v>
      </c>
      <c r="C30" s="1306"/>
      <c r="D30" s="1306"/>
      <c r="E30" s="1306"/>
      <c r="F30" s="1306"/>
      <c r="G30" s="1306"/>
      <c r="H30" s="1306"/>
      <c r="I30" s="1306"/>
      <c r="J30" s="1306"/>
      <c r="K30" s="1307"/>
      <c r="N30" s="1229"/>
      <c r="O30" s="15" t="s">
        <v>259</v>
      </c>
      <c r="P30" s="523">
        <f>MIN(INT(($T$4*Q27)*(1+$B$34+$E$34+$B$52+$K$35)),ReadMe!$M$99)</f>
        <v>22152</v>
      </c>
      <c r="Q30" s="1236"/>
      <c r="R30" s="86" t="s">
        <v>259</v>
      </c>
      <c r="S30" s="157">
        <f>MIN(INT(P30*$F$41),ReadMe!$M$99)</f>
        <v>33228</v>
      </c>
      <c r="T30" s="1565"/>
      <c r="U30" s="1557"/>
    </row>
    <row r="31" spans="2:21" ht="14.25" thickBot="1">
      <c r="B31" s="1218" t="s">
        <v>762</v>
      </c>
      <c r="C31" s="1219"/>
      <c r="D31" s="1220"/>
      <c r="E31" s="1308" t="s">
        <v>1218</v>
      </c>
      <c r="F31" s="1309"/>
      <c r="G31" s="1" t="s">
        <v>986</v>
      </c>
      <c r="H31" s="3" t="s">
        <v>985</v>
      </c>
      <c r="I31" s="3" t="s">
        <v>984</v>
      </c>
      <c r="J31" s="3" t="s">
        <v>983</v>
      </c>
      <c r="K31" s="4" t="s">
        <v>987</v>
      </c>
      <c r="N31" s="1342" t="s">
        <v>291</v>
      </c>
      <c r="O31" s="1420"/>
      <c r="P31" s="1420"/>
      <c r="Q31" s="1420"/>
      <c r="R31" s="1420"/>
      <c r="S31" s="1670">
        <f>U28*T27*$T$10*$G$47</f>
        <v>1868411.2000000002</v>
      </c>
      <c r="T31" s="1478"/>
      <c r="U31" s="1479"/>
    </row>
    <row r="32" spans="2:11" ht="14.25" thickBot="1">
      <c r="B32" s="1210">
        <v>0</v>
      </c>
      <c r="C32" s="1211"/>
      <c r="D32" s="1212"/>
      <c r="E32" s="1130">
        <v>0</v>
      </c>
      <c r="F32" s="1131"/>
      <c r="G32" s="542">
        <v>0</v>
      </c>
      <c r="H32" s="543">
        <v>0</v>
      </c>
      <c r="I32" s="543">
        <v>0.09</v>
      </c>
      <c r="J32" s="543">
        <v>0</v>
      </c>
      <c r="K32" s="544">
        <v>0</v>
      </c>
    </row>
    <row r="33" spans="2:21" ht="13.5" customHeight="1" thickBot="1">
      <c r="B33" s="1221" t="s">
        <v>135</v>
      </c>
      <c r="C33" s="1166"/>
      <c r="D33" s="1177"/>
      <c r="E33" s="1261" t="s">
        <v>877</v>
      </c>
      <c r="F33" s="1262"/>
      <c r="N33" s="1158" t="s">
        <v>547</v>
      </c>
      <c r="O33" s="1159"/>
      <c r="P33" s="1159"/>
      <c r="Q33" s="1159"/>
      <c r="R33" s="1159"/>
      <c r="S33" s="1159"/>
      <c r="T33" s="1159"/>
      <c r="U33" s="1160"/>
    </row>
    <row r="34" spans="2:21" ht="14.25" thickBot="1">
      <c r="B34" s="1210">
        <v>0</v>
      </c>
      <c r="C34" s="1222"/>
      <c r="D34" s="1212"/>
      <c r="E34" s="1130">
        <v>0</v>
      </c>
      <c r="F34" s="1131"/>
      <c r="I34" s="1297" t="s">
        <v>1417</v>
      </c>
      <c r="J34" s="1298"/>
      <c r="K34" s="1299"/>
      <c r="N34" s="147" t="s">
        <v>533</v>
      </c>
      <c r="O34" s="148">
        <f>D6</f>
        <v>30</v>
      </c>
      <c r="P34" s="147" t="s">
        <v>301</v>
      </c>
      <c r="Q34" s="606">
        <f>(1300+20*O34)/100</f>
        <v>19</v>
      </c>
      <c r="R34" s="1677" t="s">
        <v>765</v>
      </c>
      <c r="S34" s="1677"/>
      <c r="T34" s="597">
        <f>60-2*INT(O34/2)</f>
        <v>30</v>
      </c>
      <c r="U34" s="599">
        <f>0.05+INT(O34/2)/100</f>
        <v>0.2</v>
      </c>
    </row>
    <row r="35" spans="9:21" ht="14.25" thickBot="1">
      <c r="I35" s="14" t="s">
        <v>1410</v>
      </c>
      <c r="J35" s="15"/>
      <c r="K35" s="534">
        <v>0</v>
      </c>
      <c r="N35" s="1346" t="s">
        <v>529</v>
      </c>
      <c r="O35" s="134" t="s">
        <v>257</v>
      </c>
      <c r="P35" s="144">
        <f>MIN(INT(P38*1.5),ReadMe!$M$99)</f>
        <v>115747</v>
      </c>
      <c r="Q35" s="1699" t="s">
        <v>529</v>
      </c>
      <c r="R35" s="87" t="s">
        <v>257</v>
      </c>
      <c r="S35" s="155">
        <f>MIN(INT(P35*$E$41),ReadMe!$M$99)</f>
        <v>138896</v>
      </c>
      <c r="T35" s="1702" t="s">
        <v>529</v>
      </c>
      <c r="U35" s="1556">
        <f>INT(P36*(1-($G$41+$U$34))+S36*($G$41+$U$34))</f>
        <v>205911</v>
      </c>
    </row>
    <row r="36" spans="2:21" ht="14.25" thickBot="1">
      <c r="B36" s="1280" t="s">
        <v>88</v>
      </c>
      <c r="C36" s="1281"/>
      <c r="D36" s="1281"/>
      <c r="E36" s="503" t="s">
        <v>257</v>
      </c>
      <c r="F36" s="19" t="s">
        <v>259</v>
      </c>
      <c r="G36" s="504" t="s">
        <v>1085</v>
      </c>
      <c r="N36" s="1347"/>
      <c r="O36" s="43" t="s">
        <v>258</v>
      </c>
      <c r="P36" s="62">
        <f>MIN(INT(P39*1.5),ReadMe!$M$99)</f>
        <v>163098</v>
      </c>
      <c r="Q36" s="1700"/>
      <c r="R36" s="79" t="s">
        <v>258</v>
      </c>
      <c r="S36" s="156">
        <f>MIN(INT(P36*(($E$41+$F$41)/2)),ReadMe!$M$99)</f>
        <v>220182</v>
      </c>
      <c r="T36" s="1635"/>
      <c r="U36" s="1557"/>
    </row>
    <row r="37" spans="2:21" ht="14.25" thickBot="1">
      <c r="B37" s="1213" t="s">
        <v>90</v>
      </c>
      <c r="C37" s="1214"/>
      <c r="D37" s="1215"/>
      <c r="E37" s="35">
        <v>1.2</v>
      </c>
      <c r="F37" s="507">
        <v>1.5</v>
      </c>
      <c r="G37" s="241">
        <v>0.55</v>
      </c>
      <c r="I37" s="1256" t="s">
        <v>438</v>
      </c>
      <c r="J37" s="1300"/>
      <c r="K37" s="1301"/>
      <c r="N37" s="1348"/>
      <c r="O37" s="15" t="s">
        <v>259</v>
      </c>
      <c r="P37" s="145">
        <f>MIN(INT(P40*1.5),ReadMe!$M$99)</f>
        <v>210450</v>
      </c>
      <c r="Q37" s="175" t="s">
        <v>549</v>
      </c>
      <c r="R37" s="86" t="s">
        <v>259</v>
      </c>
      <c r="S37" s="157">
        <f>MIN(INT(P37*$F$41),ReadMe!$M$99)</f>
        <v>315675</v>
      </c>
      <c r="T37" s="176" t="s">
        <v>335</v>
      </c>
      <c r="U37" s="1557"/>
    </row>
    <row r="38" spans="2:21" ht="14.25" thickBot="1">
      <c r="B38" s="1228" t="s">
        <v>86</v>
      </c>
      <c r="C38" s="1284"/>
      <c r="D38" s="516">
        <v>0</v>
      </c>
      <c r="E38" s="506"/>
      <c r="F38" s="505">
        <f>D38/100</f>
        <v>0</v>
      </c>
      <c r="G38" s="511">
        <f>IF(D38=0,0,(5+ROUNDUP(D38/2,0))/100)</f>
        <v>0</v>
      </c>
      <c r="I38" s="1256" t="s">
        <v>440</v>
      </c>
      <c r="J38" s="1257"/>
      <c r="K38" s="1258"/>
      <c r="N38" s="1227" t="s">
        <v>327</v>
      </c>
      <c r="O38" s="76" t="s">
        <v>257</v>
      </c>
      <c r="P38" s="521">
        <f>MIN(INT(($R$4*Q34)*(1+$B$34+$E$34+$B$52+$K$35)),ReadMe!$M$99)</f>
        <v>77165</v>
      </c>
      <c r="Q38" s="1234" t="s">
        <v>725</v>
      </c>
      <c r="R38" s="186" t="s">
        <v>257</v>
      </c>
      <c r="S38" s="155">
        <f>MIN(INT(P38*$E$41),ReadMe!$M$99)</f>
        <v>92598</v>
      </c>
      <c r="T38" s="1564" t="s">
        <v>323</v>
      </c>
      <c r="U38" s="1556">
        <f>INT(P39*(1-($G$41+$U$34))+S39*($G$41+$U$34))</f>
        <v>137274</v>
      </c>
    </row>
    <row r="39" spans="1:21"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8"/>
      <c r="O39" s="43" t="s">
        <v>258</v>
      </c>
      <c r="P39" s="522">
        <f>INT((P38+P40)/2)</f>
        <v>108732</v>
      </c>
      <c r="Q39" s="1235"/>
      <c r="R39" s="79" t="s">
        <v>258</v>
      </c>
      <c r="S39" s="156">
        <f>MIN(INT(P39*(($E$41+$F$41)/2)),ReadMe!$M$99)</f>
        <v>146788</v>
      </c>
      <c r="T39" s="1565"/>
      <c r="U39" s="1557"/>
    </row>
    <row r="40" spans="2:21" ht="14.25" thickBot="1">
      <c r="B40" s="1285" t="s">
        <v>89</v>
      </c>
      <c r="C40" s="1286"/>
      <c r="D40" s="1287"/>
      <c r="E40" s="513">
        <v>0</v>
      </c>
      <c r="F40" s="514">
        <v>0</v>
      </c>
      <c r="G40" s="515">
        <v>0</v>
      </c>
      <c r="N40" s="1229"/>
      <c r="O40" s="15" t="s">
        <v>259</v>
      </c>
      <c r="P40" s="523">
        <f>MIN(INT(($T$4*Q34)*(1+$B$34+$E$34+$B$52+$K$35)),ReadMe!$M$99)</f>
        <v>140300</v>
      </c>
      <c r="Q40" s="1236"/>
      <c r="R40" s="86" t="s">
        <v>259</v>
      </c>
      <c r="S40" s="157">
        <f>MIN(INT(P40*$F$41),ReadMe!$M$99)</f>
        <v>210450</v>
      </c>
      <c r="T40" s="1565"/>
      <c r="U40" s="1557"/>
    </row>
    <row r="41" spans="2:21" ht="14.25" thickBot="1">
      <c r="B41" s="1290" t="s">
        <v>91</v>
      </c>
      <c r="C41" s="1291"/>
      <c r="D41" s="1292"/>
      <c r="E41" s="508">
        <f>E37+E39+E40</f>
        <v>1.2</v>
      </c>
      <c r="F41" s="509">
        <f>F37+MAX(F38,F39)+F40</f>
        <v>1.5</v>
      </c>
      <c r="G41" s="510">
        <f>G37+MAX(G38,G39)+G40</f>
        <v>0.55</v>
      </c>
      <c r="I41" s="1259" t="s">
        <v>128</v>
      </c>
      <c r="J41" s="1260"/>
      <c r="K41" s="791"/>
      <c r="L41" s="402" t="b">
        <v>0</v>
      </c>
      <c r="M41" s="486" t="str">
        <f>IF(L41=TRUE,"TRUE",IF(K41=1,"TRUE","FLASE"))</f>
        <v>FLASE</v>
      </c>
      <c r="N41" s="1227" t="s">
        <v>528</v>
      </c>
      <c r="O41" s="134" t="s">
        <v>257</v>
      </c>
      <c r="P41" s="4">
        <f>INT(P38*0.5)</f>
        <v>38582</v>
      </c>
      <c r="Q41" s="1699" t="s">
        <v>528</v>
      </c>
      <c r="R41" s="87" t="s">
        <v>257</v>
      </c>
      <c r="S41" s="155">
        <f>MIN(INT(P41*$E$41),ReadMe!$M$99)</f>
        <v>46298</v>
      </c>
      <c r="T41" s="1702" t="s">
        <v>528</v>
      </c>
      <c r="U41" s="1556">
        <f>INT(P42*(1-($G$41+$U$34))+S42*($G$41+$U$34))</f>
        <v>68637</v>
      </c>
    </row>
    <row r="42" spans="2:21" ht="14.25" thickBot="1">
      <c r="B42" s="1216" t="s">
        <v>331</v>
      </c>
      <c r="C42" s="1199"/>
      <c r="D42" s="1200"/>
      <c r="E42" s="1253">
        <f>(($E$41+$F$41)/2-1)*$G$41+1</f>
        <v>1.1925000000000001</v>
      </c>
      <c r="F42" s="1254"/>
      <c r="G42" s="1255"/>
      <c r="I42" s="590" t="s">
        <v>1119</v>
      </c>
      <c r="J42" s="788"/>
      <c r="K42" s="789">
        <v>0</v>
      </c>
      <c r="N42" s="1228"/>
      <c r="O42" s="43" t="s">
        <v>258</v>
      </c>
      <c r="P42" s="62">
        <f>INT(P39*0.5)</f>
        <v>54366</v>
      </c>
      <c r="Q42" s="1700"/>
      <c r="R42" s="79" t="s">
        <v>258</v>
      </c>
      <c r="S42" s="156">
        <f>MIN(INT(P42*(($E$41+$F$41)/2)),ReadMe!$M$99)</f>
        <v>73394</v>
      </c>
      <c r="T42" s="1635"/>
      <c r="U42" s="1557"/>
    </row>
    <row r="43" spans="9:21" ht="14.25" thickBot="1">
      <c r="I43" s="1251" t="s">
        <v>854</v>
      </c>
      <c r="J43" s="1252"/>
      <c r="K43" s="790">
        <f>IF(M41="true",IF(K42&gt;0,10+ROUNDUP(K42/3,0),10)/100,0)</f>
        <v>0</v>
      </c>
      <c r="L43" s="323"/>
      <c r="M43" s="323"/>
      <c r="N43" s="1229"/>
      <c r="O43" s="15" t="s">
        <v>259</v>
      </c>
      <c r="P43" s="143">
        <f>INT(P40*0.5)</f>
        <v>70150</v>
      </c>
      <c r="Q43" s="175" t="s">
        <v>549</v>
      </c>
      <c r="R43" s="86" t="s">
        <v>259</v>
      </c>
      <c r="S43" s="157">
        <f>MIN(INT(P43*$F$41),ReadMe!$M$99)</f>
        <v>105225</v>
      </c>
      <c r="T43" s="176" t="s">
        <v>335</v>
      </c>
      <c r="U43" s="1557"/>
    </row>
    <row r="44" ht="14.25" thickBot="1"/>
    <row r="45" spans="2:24" ht="14.25" thickBot="1">
      <c r="B45" s="1282" t="s">
        <v>735</v>
      </c>
      <c r="C45" s="1283"/>
      <c r="D45" s="533">
        <v>125</v>
      </c>
      <c r="E45" s="1249" t="s">
        <v>736</v>
      </c>
      <c r="F45" s="1250"/>
      <c r="G45" s="25">
        <f>IF(D2&gt;D45,0,$D$45-$D$2)</f>
        <v>0</v>
      </c>
      <c r="I45" s="1137" t="s">
        <v>159</v>
      </c>
      <c r="J45" s="1138"/>
      <c r="K45" s="1139"/>
      <c r="N45" s="1158" t="s">
        <v>773</v>
      </c>
      <c r="O45" s="1159"/>
      <c r="P45" s="1159"/>
      <c r="Q45" s="1159"/>
      <c r="R45" s="1159"/>
      <c r="S45" s="1159"/>
      <c r="T45" s="1159"/>
      <c r="U45" s="1160"/>
      <c r="V45" s="96"/>
      <c r="W45" s="190"/>
      <c r="X45" s="190"/>
    </row>
    <row r="46" spans="2:22" ht="14.25" thickBot="1">
      <c r="B46" s="1242" t="s">
        <v>769</v>
      </c>
      <c r="C46" s="1243"/>
      <c r="D46" s="9">
        <v>12</v>
      </c>
      <c r="E46" s="1242" t="s">
        <v>771</v>
      </c>
      <c r="F46" s="1243"/>
      <c r="G46" s="615">
        <f>IF(G45&gt;0,"-",D46)</f>
        <v>12</v>
      </c>
      <c r="I46" s="416" t="s">
        <v>160</v>
      </c>
      <c r="J46" s="539"/>
      <c r="K46" s="204">
        <v>0</v>
      </c>
      <c r="L46" s="323"/>
      <c r="M46" s="323"/>
      <c r="N46" s="147" t="s">
        <v>519</v>
      </c>
      <c r="O46" s="148">
        <f>D7</f>
        <v>30</v>
      </c>
      <c r="P46" s="147" t="s">
        <v>301</v>
      </c>
      <c r="Q46" s="598">
        <f>(230+2*O46)/100</f>
        <v>2.9</v>
      </c>
      <c r="R46" s="201" t="s">
        <v>800</v>
      </c>
      <c r="S46" s="202">
        <v>1</v>
      </c>
      <c r="T46" s="483" t="s">
        <v>1272</v>
      </c>
      <c r="U46" s="484">
        <v>32</v>
      </c>
      <c r="V46" s="21"/>
    </row>
    <row r="47" spans="2:25" ht="14.25" thickBot="1">
      <c r="B47" s="1293" t="s">
        <v>734</v>
      </c>
      <c r="C47" s="1294"/>
      <c r="D47" s="9">
        <v>0</v>
      </c>
      <c r="E47" s="1242" t="s">
        <v>770</v>
      </c>
      <c r="F47" s="1243"/>
      <c r="G47" s="511">
        <f>MAX((MIN(100+SQRT($K$29)-SQRT($D$46),100)-2*G45)/100,0)</f>
        <v>1</v>
      </c>
      <c r="I47" s="417" t="s">
        <v>161</v>
      </c>
      <c r="J47" s="540"/>
      <c r="K47" s="418">
        <f>IF(K46&gt;0,(K46+10)/100,0)</f>
        <v>0</v>
      </c>
      <c r="N47" s="1346" t="s">
        <v>529</v>
      </c>
      <c r="O47" s="134" t="s">
        <v>257</v>
      </c>
      <c r="P47" s="144">
        <f>MIN(INT(P53*1.5),ReadMe!$M$99)</f>
        <v>17665</v>
      </c>
      <c r="Q47" s="1699" t="s">
        <v>529</v>
      </c>
      <c r="R47" s="87" t="s">
        <v>257</v>
      </c>
      <c r="S47" s="155">
        <f>MIN(INT(P47*$E$41),ReadMe!$M$99)</f>
        <v>21198</v>
      </c>
      <c r="T47" s="1701" t="s">
        <v>529</v>
      </c>
      <c r="U47" s="1556">
        <f>INT(P48*(1-$G$41)+S48*$G$41)</f>
        <v>29683</v>
      </c>
      <c r="W47" s="57"/>
      <c r="X47" s="57"/>
      <c r="Y47" s="57"/>
    </row>
    <row r="48" spans="2:25" ht="14.25" thickBot="1">
      <c r="B48" s="1278" t="s">
        <v>979</v>
      </c>
      <c r="C48" s="1279"/>
      <c r="D48" s="534">
        <v>0.25</v>
      </c>
      <c r="E48" s="1197" t="s">
        <v>980</v>
      </c>
      <c r="F48" s="1198"/>
      <c r="G48" s="28">
        <f>1-(D48-ROUNDUP(D48*(K47+B32),2))</f>
        <v>0.75</v>
      </c>
      <c r="N48" s="1347"/>
      <c r="O48" s="43" t="s">
        <v>258</v>
      </c>
      <c r="P48" s="62">
        <f>MIN(INT(P54*1.5),ReadMe!$M$99)</f>
        <v>24892</v>
      </c>
      <c r="Q48" s="1700"/>
      <c r="R48" s="79" t="s">
        <v>258</v>
      </c>
      <c r="S48" s="156">
        <f>MIN(INT(P48*(($E$41+$F$41)/2)),ReadMe!$M$99)</f>
        <v>33604</v>
      </c>
      <c r="T48" s="1451"/>
      <c r="U48" s="1557"/>
      <c r="W48" s="57"/>
      <c r="X48" s="57"/>
      <c r="Y48" s="57"/>
    </row>
    <row r="49" spans="4:25" ht="14.25" thickBot="1">
      <c r="D49" s="402">
        <f>$D$47*(1-($K$47+$B$32))</f>
        <v>0</v>
      </c>
      <c r="I49" s="1246" t="s">
        <v>79</v>
      </c>
      <c r="J49" s="1247"/>
      <c r="K49" s="1248"/>
      <c r="L49" s="323"/>
      <c r="M49" s="162"/>
      <c r="N49" s="1348"/>
      <c r="O49" s="15" t="s">
        <v>259</v>
      </c>
      <c r="P49" s="145">
        <f>MIN(INT(P55*1.5),ReadMe!$M$99)</f>
        <v>32121</v>
      </c>
      <c r="Q49" s="684" t="s">
        <v>549</v>
      </c>
      <c r="R49" s="249" t="s">
        <v>259</v>
      </c>
      <c r="S49" s="251">
        <f>MIN(INT(P49*$F$41),ReadMe!$M$99)</f>
        <v>48181</v>
      </c>
      <c r="T49" s="685" t="s">
        <v>335</v>
      </c>
      <c r="U49" s="1647"/>
      <c r="W49" s="1359" t="s">
        <v>1086</v>
      </c>
      <c r="X49" s="1360"/>
      <c r="Y49" s="1361"/>
    </row>
    <row r="50" spans="2:25" ht="13.5">
      <c r="B50" s="1153" t="s">
        <v>1084</v>
      </c>
      <c r="C50" s="1133"/>
      <c r="D50" s="1129"/>
      <c r="I50" s="1127" t="s">
        <v>988</v>
      </c>
      <c r="J50" s="1217"/>
      <c r="K50" s="468"/>
      <c r="L50" s="486" t="b">
        <v>0</v>
      </c>
      <c r="M50" s="486" t="str">
        <f>IF(L50=TRUE,"TRUE",IF(K50=1,"TRUE","FLASE"))</f>
        <v>FLASE</v>
      </c>
      <c r="N50" s="1227" t="s">
        <v>299</v>
      </c>
      <c r="O50" s="84" t="s">
        <v>257</v>
      </c>
      <c r="P50" s="180">
        <f>P47*5</f>
        <v>88325</v>
      </c>
      <c r="Q50" s="1519"/>
      <c r="R50" s="1521"/>
      <c r="S50" s="1679">
        <f>(P51*U46*$T$10+IF($A$13="true",$S$31,0))*$G$47</f>
        <v>7725856.533333334</v>
      </c>
      <c r="T50" s="1680"/>
      <c r="U50" s="1681"/>
      <c r="W50" s="1693">
        <f>INT(S50-P51*$P$68)+$S$70*$S$68</f>
        <v>9065066</v>
      </c>
      <c r="X50" s="1392"/>
      <c r="Y50" s="1393"/>
    </row>
    <row r="51" spans="2:25" ht="14.25" thickBot="1">
      <c r="B51" s="1187" t="s">
        <v>877</v>
      </c>
      <c r="C51" s="1188"/>
      <c r="D51" s="1189"/>
      <c r="I51" s="1244" t="s">
        <v>989</v>
      </c>
      <c r="J51" s="1245"/>
      <c r="K51" s="469"/>
      <c r="L51" s="486" t="b">
        <v>0</v>
      </c>
      <c r="M51" s="486" t="str">
        <f>IF(L51=TRUE,"TRUE",IF(K51=1,"TRUE","FLASE"))</f>
        <v>FLASE</v>
      </c>
      <c r="N51" s="1228"/>
      <c r="O51" s="173" t="s">
        <v>335</v>
      </c>
      <c r="P51" s="645">
        <f>U47*5</f>
        <v>148415</v>
      </c>
      <c r="Q51" s="557" t="s">
        <v>268</v>
      </c>
      <c r="R51" s="558"/>
      <c r="S51" s="1682"/>
      <c r="T51" s="1683"/>
      <c r="U51" s="1684"/>
      <c r="W51" s="1692"/>
      <c r="X51" s="1173"/>
      <c r="Y51" s="1174"/>
    </row>
    <row r="52" spans="2:25" ht="14.25" thickBot="1">
      <c r="B52" s="1194">
        <v>0</v>
      </c>
      <c r="C52" s="1195"/>
      <c r="D52" s="1196"/>
      <c r="I52" s="1240" t="s">
        <v>854</v>
      </c>
      <c r="J52" s="1241"/>
      <c r="K52" s="206">
        <f>IF(M50="TRUE",1.04,IF(M51="TRUE",1.02,1))</f>
        <v>1</v>
      </c>
      <c r="L52" s="333"/>
      <c r="M52" s="333"/>
      <c r="N52" s="1229"/>
      <c r="O52" s="92" t="s">
        <v>259</v>
      </c>
      <c r="P52" s="182">
        <f>S49*5</f>
        <v>240905</v>
      </c>
      <c r="Q52" s="1164" t="s">
        <v>286</v>
      </c>
      <c r="R52" s="1165"/>
      <c r="S52" s="1685"/>
      <c r="T52" s="1686"/>
      <c r="U52" s="1687"/>
      <c r="W52" s="1667"/>
      <c r="X52" s="1170"/>
      <c r="Y52" s="1171"/>
    </row>
    <row r="53" spans="14:25" ht="14.25" thickBot="1">
      <c r="N53" s="1227" t="s">
        <v>327</v>
      </c>
      <c r="O53" s="76" t="s">
        <v>257</v>
      </c>
      <c r="P53" s="521">
        <f>MIN(INT(($R$4*Q46)*(1+$B$34+$E$34+$B$52+$K$35)),ReadMe!$M$99)</f>
        <v>11777</v>
      </c>
      <c r="Q53" s="1234" t="s">
        <v>725</v>
      </c>
      <c r="R53" s="186" t="s">
        <v>257</v>
      </c>
      <c r="S53" s="155">
        <f>MIN(INT(P53*$E$41),ReadMe!$M$99)</f>
        <v>14132</v>
      </c>
      <c r="T53" s="1564" t="s">
        <v>323</v>
      </c>
      <c r="U53" s="1556">
        <f>INT(P54*(1-$G$41)+S54*$G$41)</f>
        <v>19789</v>
      </c>
      <c r="W53" s="22"/>
      <c r="X53" s="21"/>
      <c r="Y53" s="138"/>
    </row>
    <row r="54" spans="2:25" ht="14.25" thickBot="1">
      <c r="B54" s="1342" t="s">
        <v>265</v>
      </c>
      <c r="C54" s="1420"/>
      <c r="D54" s="1420"/>
      <c r="E54" s="1420"/>
      <c r="F54" s="1420"/>
      <c r="G54" s="1420"/>
      <c r="H54" s="1420"/>
      <c r="I54" s="1420"/>
      <c r="J54" s="1420"/>
      <c r="K54" s="1420"/>
      <c r="L54" s="1421"/>
      <c r="N54" s="1228"/>
      <c r="O54" s="43" t="s">
        <v>258</v>
      </c>
      <c r="P54" s="522">
        <f>INT((P53+P55)/2)</f>
        <v>16595</v>
      </c>
      <c r="Q54" s="1235"/>
      <c r="R54" s="79" t="s">
        <v>258</v>
      </c>
      <c r="S54" s="156">
        <f>MIN(INT(P54*(($E$41+$F$41)/2)),ReadMe!$M$99)</f>
        <v>22403</v>
      </c>
      <c r="T54" s="1565"/>
      <c r="U54" s="1557"/>
      <c r="W54" s="22"/>
      <c r="X54" s="21"/>
      <c r="Y54" s="138"/>
    </row>
    <row r="55" spans="2:25" ht="14.25" thickBot="1">
      <c r="B55" s="1273" t="s">
        <v>1097</v>
      </c>
      <c r="C55" s="1274"/>
      <c r="D55" s="1275"/>
      <c r="E55" s="1275"/>
      <c r="F55" s="1275"/>
      <c r="G55" s="1275"/>
      <c r="H55" s="1275"/>
      <c r="I55" s="1275"/>
      <c r="J55" s="1275"/>
      <c r="K55" s="1276"/>
      <c r="L55" s="1277"/>
      <c r="N55" s="1229"/>
      <c r="O55" s="15" t="s">
        <v>259</v>
      </c>
      <c r="P55" s="523">
        <f>MIN(INT(($T$4*Q46)*(1+$B$34+$E$34+$B$52+$K$35)),ReadMe!$M$99)</f>
        <v>21414</v>
      </c>
      <c r="Q55" s="1236"/>
      <c r="R55" s="86" t="s">
        <v>259</v>
      </c>
      <c r="S55" s="157">
        <f>MIN(INT(P55*$F$41),ReadMe!$M$99)</f>
        <v>32121</v>
      </c>
      <c r="T55" s="1565"/>
      <c r="U55" s="1557"/>
      <c r="W55" s="136"/>
      <c r="X55" s="57"/>
      <c r="Y55" s="139"/>
    </row>
    <row r="56" spans="2:25" ht="13.5">
      <c r="B56" s="1273" t="s">
        <v>1098</v>
      </c>
      <c r="C56" s="1274"/>
      <c r="D56" s="1275"/>
      <c r="E56" s="1275"/>
      <c r="F56" s="1275"/>
      <c r="G56" s="1275"/>
      <c r="H56" s="1275"/>
      <c r="I56" s="1275"/>
      <c r="J56" s="1275"/>
      <c r="K56" s="1276"/>
      <c r="L56" s="1277"/>
      <c r="N56" s="1227" t="s">
        <v>299</v>
      </c>
      <c r="O56" s="84" t="s">
        <v>257</v>
      </c>
      <c r="P56" s="180">
        <f>P53*5</f>
        <v>58885</v>
      </c>
      <c r="Q56" s="1519"/>
      <c r="R56" s="1521"/>
      <c r="S56" s="1679">
        <f>(P57*U46*$T$10+IF($A$13="true",$S$31,0))*$G$47</f>
        <v>5773440.533333333</v>
      </c>
      <c r="T56" s="1680"/>
      <c r="U56" s="1681"/>
      <c r="W56" s="1693">
        <f>INT(S56-P57*$P$68)+$S$70*$S$68</f>
        <v>7124067</v>
      </c>
      <c r="X56" s="1392"/>
      <c r="Y56" s="1393"/>
    </row>
    <row r="57" spans="2:25" ht="13.5">
      <c r="B57" s="1273" t="s">
        <v>680</v>
      </c>
      <c r="C57" s="1274"/>
      <c r="D57" s="1275"/>
      <c r="E57" s="1275"/>
      <c r="F57" s="1275"/>
      <c r="G57" s="1275"/>
      <c r="H57" s="1275"/>
      <c r="I57" s="1275"/>
      <c r="J57" s="1275"/>
      <c r="K57" s="1276"/>
      <c r="L57" s="1277"/>
      <c r="N57" s="1228"/>
      <c r="O57" s="173" t="s">
        <v>335</v>
      </c>
      <c r="P57" s="645">
        <f>U53*5</f>
        <v>98945</v>
      </c>
      <c r="Q57" s="557" t="s">
        <v>268</v>
      </c>
      <c r="R57" s="558"/>
      <c r="S57" s="1682"/>
      <c r="T57" s="1683"/>
      <c r="U57" s="1684"/>
      <c r="W57" s="1692"/>
      <c r="X57" s="1173"/>
      <c r="Y57" s="1174"/>
    </row>
    <row r="58" spans="2:25" ht="14.25" thickBot="1">
      <c r="B58" s="1263" t="s">
        <v>681</v>
      </c>
      <c r="C58" s="1264"/>
      <c r="D58" s="1265"/>
      <c r="E58" s="1265"/>
      <c r="F58" s="1265"/>
      <c r="G58" s="1265"/>
      <c r="H58" s="1265"/>
      <c r="I58" s="1265"/>
      <c r="J58" s="1265"/>
      <c r="K58" s="1266"/>
      <c r="L58" s="1267"/>
      <c r="N58" s="1229"/>
      <c r="O58" s="92" t="s">
        <v>259</v>
      </c>
      <c r="P58" s="182">
        <f>S55*5</f>
        <v>160605</v>
      </c>
      <c r="Q58" s="1164" t="s">
        <v>287</v>
      </c>
      <c r="R58" s="1165"/>
      <c r="S58" s="1685"/>
      <c r="T58" s="1686"/>
      <c r="U58" s="1687"/>
      <c r="W58" s="1667"/>
      <c r="X58" s="1170"/>
      <c r="Y58" s="1171"/>
    </row>
    <row r="59" spans="2:25" ht="13.5">
      <c r="B59" s="471"/>
      <c r="C59" s="471"/>
      <c r="N59" s="1346" t="s">
        <v>528</v>
      </c>
      <c r="O59" s="134" t="s">
        <v>257</v>
      </c>
      <c r="P59" s="144">
        <f aca="true" t="shared" si="0" ref="P59:P64">INT(P53*0.5)</f>
        <v>5888</v>
      </c>
      <c r="Q59" s="1699" t="s">
        <v>528</v>
      </c>
      <c r="R59" s="87" t="s">
        <v>257</v>
      </c>
      <c r="S59" s="155">
        <f>MIN(INT(P59*$E$41),ReadMe!$M$99)</f>
        <v>7065</v>
      </c>
      <c r="T59" s="1701" t="s">
        <v>528</v>
      </c>
      <c r="U59" s="1556">
        <f>INT(P60*(1-$G$41)+S60*$G$41)</f>
        <v>9893</v>
      </c>
      <c r="W59" s="136"/>
      <c r="X59" s="57"/>
      <c r="Y59" s="139"/>
    </row>
    <row r="60" spans="2:25" ht="13.5">
      <c r="B60" s="471"/>
      <c r="C60" s="471"/>
      <c r="N60" s="1347"/>
      <c r="O60" s="43" t="s">
        <v>258</v>
      </c>
      <c r="P60" s="62">
        <f t="shared" si="0"/>
        <v>8297</v>
      </c>
      <c r="Q60" s="1700"/>
      <c r="R60" s="79" t="s">
        <v>258</v>
      </c>
      <c r="S60" s="156">
        <f>MIN(INT(P60*(($E$41+$F$41)/2)),ReadMe!$M$99)</f>
        <v>11200</v>
      </c>
      <c r="T60" s="1451"/>
      <c r="U60" s="1557"/>
      <c r="W60" s="136"/>
      <c r="X60" s="57"/>
      <c r="Y60" s="139"/>
    </row>
    <row r="61" spans="2:25" ht="14.25" thickBot="1">
      <c r="B61" s="116"/>
      <c r="C61" s="116"/>
      <c r="N61" s="1348"/>
      <c r="O61" s="15" t="s">
        <v>259</v>
      </c>
      <c r="P61" s="145">
        <f t="shared" si="0"/>
        <v>10707</v>
      </c>
      <c r="Q61" s="684" t="s">
        <v>549</v>
      </c>
      <c r="R61" s="249" t="s">
        <v>259</v>
      </c>
      <c r="S61" s="251">
        <f>MIN(INT(P61*$F$41),ReadMe!$M$99)</f>
        <v>16060</v>
      </c>
      <c r="T61" s="685" t="s">
        <v>335</v>
      </c>
      <c r="U61" s="1647"/>
      <c r="W61" s="692"/>
      <c r="X61" s="289"/>
      <c r="Y61" s="693"/>
    </row>
    <row r="62" spans="14:25" ht="13.5">
      <c r="N62" s="1227" t="s">
        <v>299</v>
      </c>
      <c r="O62" s="84" t="s">
        <v>257</v>
      </c>
      <c r="P62" s="180">
        <f t="shared" si="0"/>
        <v>29442</v>
      </c>
      <c r="Q62" s="1519"/>
      <c r="R62" s="1521"/>
      <c r="S62" s="1679">
        <f>(P63*U46*$T$10+IF($A$13="true",$S$31,0))*$G$47</f>
        <v>3820906.133333334</v>
      </c>
      <c r="T62" s="1680"/>
      <c r="U62" s="1681"/>
      <c r="W62" s="1693">
        <f>INT(S62-P63*$P$68)+$S$70*$S$68</f>
        <v>5182949</v>
      </c>
      <c r="X62" s="1392"/>
      <c r="Y62" s="1393"/>
    </row>
    <row r="63" spans="14:25" ht="13.5">
      <c r="N63" s="1228"/>
      <c r="O63" s="173" t="s">
        <v>335</v>
      </c>
      <c r="P63" s="645">
        <f t="shared" si="0"/>
        <v>49472</v>
      </c>
      <c r="Q63" s="557" t="s">
        <v>268</v>
      </c>
      <c r="R63" s="558"/>
      <c r="S63" s="1682"/>
      <c r="T63" s="1683"/>
      <c r="U63" s="1684"/>
      <c r="W63" s="1692"/>
      <c r="X63" s="1173"/>
      <c r="Y63" s="1174"/>
    </row>
    <row r="64" spans="14:25" ht="14.25" thickBot="1">
      <c r="N64" s="1229"/>
      <c r="O64" s="92" t="s">
        <v>259</v>
      </c>
      <c r="P64" s="182">
        <f t="shared" si="0"/>
        <v>80302</v>
      </c>
      <c r="Q64" s="1164" t="s">
        <v>286</v>
      </c>
      <c r="R64" s="1165"/>
      <c r="S64" s="1685"/>
      <c r="T64" s="1686"/>
      <c r="U64" s="1687"/>
      <c r="W64" s="1667"/>
      <c r="X64" s="1170"/>
      <c r="Y64" s="1171"/>
    </row>
    <row r="65" ht="14.25" thickBot="1">
      <c r="T65" s="57"/>
    </row>
    <row r="66" spans="14:19" ht="14.25" thickBot="1">
      <c r="N66" s="1158" t="s">
        <v>1083</v>
      </c>
      <c r="O66" s="1159"/>
      <c r="P66" s="1159"/>
      <c r="Q66" s="1159"/>
      <c r="R66" s="1159"/>
      <c r="S66" s="1160"/>
    </row>
    <row r="67" spans="14:19" ht="14.25" thickBot="1">
      <c r="N67" s="291" t="s">
        <v>519</v>
      </c>
      <c r="O67" s="271">
        <f>D8</f>
        <v>30</v>
      </c>
      <c r="P67" s="240" t="s">
        <v>301</v>
      </c>
      <c r="Q67" s="408">
        <f>(450+5*O67)/100</f>
        <v>6</v>
      </c>
      <c r="R67" s="14" t="s">
        <v>872</v>
      </c>
      <c r="S67" s="16">
        <f>O67*8+20</f>
        <v>260</v>
      </c>
    </row>
    <row r="68" spans="14:19" ht="14.25" thickBot="1">
      <c r="N68" s="1342" t="s">
        <v>1050</v>
      </c>
      <c r="O68" s="1471"/>
      <c r="P68" s="310">
        <f>60/S67</f>
        <v>0.23076923076923078</v>
      </c>
      <c r="Q68" s="1469" t="s">
        <v>1068</v>
      </c>
      <c r="R68" s="1470"/>
      <c r="S68" s="83">
        <v>20</v>
      </c>
    </row>
    <row r="69" spans="14:19" ht="13.5">
      <c r="N69" s="292" t="s">
        <v>1046</v>
      </c>
      <c r="O69" s="4">
        <f>MIN(INT(Q69*0.5),ReadMe!$M$99)</f>
        <v>16245</v>
      </c>
      <c r="P69" s="292" t="s">
        <v>1043</v>
      </c>
      <c r="Q69" s="4">
        <f>MIN(INT(($N$4*Q67)*(1+$B$34+$E$34+$B$52+$K$35)),ReadMe!$M$99)</f>
        <v>32490</v>
      </c>
      <c r="R69" s="292" t="s">
        <v>1016</v>
      </c>
      <c r="S69" s="4">
        <f>MIN(INT(Q69*1.5),ReadMe!$M$99)</f>
        <v>48735</v>
      </c>
    </row>
    <row r="70" spans="14:19" ht="13.5">
      <c r="N70" s="7" t="s">
        <v>1047</v>
      </c>
      <c r="O70" s="44">
        <f>MIN(INT(Q70*0.5),ReadMe!$M$99)</f>
        <v>22891</v>
      </c>
      <c r="P70" s="7" t="s">
        <v>1044</v>
      </c>
      <c r="Q70" s="44">
        <f>INT((Q69+Q71)/2)</f>
        <v>45782</v>
      </c>
      <c r="R70" s="7" t="s">
        <v>1017</v>
      </c>
      <c r="S70" s="44">
        <f>MIN(INT(Q70*1.5),ReadMe!$M$99)</f>
        <v>68673</v>
      </c>
    </row>
    <row r="71" spans="14:19" ht="14.25" thickBot="1">
      <c r="N71" s="14" t="s">
        <v>1049</v>
      </c>
      <c r="O71" s="143">
        <f>MIN(INT(Q71*0.5),ReadMe!$M$99)</f>
        <v>29537</v>
      </c>
      <c r="P71" s="14" t="s">
        <v>1045</v>
      </c>
      <c r="Q71" s="143">
        <f>MIN(INT(($P$4*Q67)*(1+$B$34+$E$34+$B$52+$K$35)),ReadMe!$M$99)</f>
        <v>59074</v>
      </c>
      <c r="R71" s="14" t="s">
        <v>1018</v>
      </c>
      <c r="S71" s="143">
        <f>MIN(INT(Q71*1.5),ReadMe!$M$99)</f>
        <v>88611</v>
      </c>
    </row>
    <row r="72" ht="14.25" thickBot="1"/>
    <row r="73" spans="14:19" ht="14.25" thickBot="1">
      <c r="N73" s="1237" t="s">
        <v>1405</v>
      </c>
      <c r="O73" s="1238"/>
      <c r="P73" s="1238"/>
      <c r="Q73" s="1239"/>
      <c r="R73" s="465" t="s">
        <v>310</v>
      </c>
      <c r="S73" s="462">
        <v>0.6</v>
      </c>
    </row>
    <row r="74" spans="14:19" ht="14.25" thickBot="1">
      <c r="N74" s="1342" t="s">
        <v>1294</v>
      </c>
      <c r="O74" s="1343"/>
      <c r="P74" s="463">
        <v>1</v>
      </c>
      <c r="Q74" s="1181" t="s">
        <v>1334</v>
      </c>
      <c r="R74" s="1182"/>
      <c r="S74" s="313">
        <v>1</v>
      </c>
    </row>
    <row r="75" spans="14:19" ht="13.5">
      <c r="N75" s="1227" t="s">
        <v>327</v>
      </c>
      <c r="O75" s="76" t="s">
        <v>257</v>
      </c>
      <c r="P75" s="521">
        <f>MIN(INT(($R$4*P74)*(1+$B$34+$E$34+$B$52+$K$35)),ReadMe!$M$99)</f>
        <v>4061</v>
      </c>
      <c r="Q75" s="1234" t="s">
        <v>725</v>
      </c>
      <c r="R75" s="186" t="s">
        <v>257</v>
      </c>
      <c r="S75" s="155">
        <f>MIN(INT(P75*$E$41),ReadMe!$M$99)</f>
        <v>4873</v>
      </c>
    </row>
    <row r="76" spans="14:19" ht="13.5">
      <c r="N76" s="1228"/>
      <c r="O76" s="43" t="s">
        <v>258</v>
      </c>
      <c r="P76" s="522">
        <f>INT((P75+P77)/2)</f>
        <v>5722</v>
      </c>
      <c r="Q76" s="1235"/>
      <c r="R76" s="79" t="s">
        <v>258</v>
      </c>
      <c r="S76" s="156">
        <f>MIN(INT(P76*(($E$41+$F$41)/2)),ReadMe!$M$99)</f>
        <v>7724</v>
      </c>
    </row>
    <row r="77" spans="14:19" ht="14.25" thickBot="1">
      <c r="N77" s="1229"/>
      <c r="O77" s="15" t="s">
        <v>259</v>
      </c>
      <c r="P77" s="523">
        <f>MIN(INT(($T$4*P74)*(1+$B$34+$E$34+$B$52+$K$35)),ReadMe!$M$99)</f>
        <v>7384</v>
      </c>
      <c r="Q77" s="1236"/>
      <c r="R77" s="86" t="s">
        <v>259</v>
      </c>
      <c r="S77" s="157">
        <f>MIN(INT(P77*$F$41),ReadMe!$M$99)</f>
        <v>11076</v>
      </c>
    </row>
    <row r="78" spans="14:19" ht="14.25" thickBot="1">
      <c r="N78" s="1302" t="s">
        <v>323</v>
      </c>
      <c r="O78" s="1303"/>
      <c r="P78" s="1304"/>
      <c r="Q78" s="1302">
        <f>INT(P76*(1-($G$41+$U$34))+S76*($G$41+$U$34))</f>
        <v>7223</v>
      </c>
      <c r="R78" s="1303"/>
      <c r="S78" s="1304"/>
    </row>
    <row r="79" spans="14:19" ht="14.25" thickBot="1">
      <c r="N79" s="1302" t="s">
        <v>726</v>
      </c>
      <c r="O79" s="1303"/>
      <c r="P79" s="1304"/>
      <c r="Q79" s="1489">
        <f>Q78*S74</f>
        <v>7223</v>
      </c>
      <c r="R79" s="1463"/>
      <c r="S79" s="1464"/>
    </row>
  </sheetData>
  <sheetProtection/>
  <protectedRanges>
    <protectedRange sqref="D45:D46 D48" name="範囲1_1_1"/>
  </protectedRanges>
  <mergeCells count="144">
    <mergeCell ref="I37:K37"/>
    <mergeCell ref="I38:K38"/>
    <mergeCell ref="B30:K30"/>
    <mergeCell ref="B31:D31"/>
    <mergeCell ref="B32:D32"/>
    <mergeCell ref="E32:F32"/>
    <mergeCell ref="I34:K34"/>
    <mergeCell ref="B2:C2"/>
    <mergeCell ref="B27:C27"/>
    <mergeCell ref="N2:P2"/>
    <mergeCell ref="N13:N15"/>
    <mergeCell ref="N24:R24"/>
    <mergeCell ref="U17:U19"/>
    <mergeCell ref="T21:T22"/>
    <mergeCell ref="U21:U23"/>
    <mergeCell ref="E34:F34"/>
    <mergeCell ref="E31:F31"/>
    <mergeCell ref="N21:N23"/>
    <mergeCell ref="Q21:Q22"/>
    <mergeCell ref="S24:U24"/>
    <mergeCell ref="N28:N30"/>
    <mergeCell ref="Q28:Q30"/>
    <mergeCell ref="W19:Y19"/>
    <mergeCell ref="W20:Y20"/>
    <mergeCell ref="W24:Y24"/>
    <mergeCell ref="W23:Y23"/>
    <mergeCell ref="W14:Y14"/>
    <mergeCell ref="W15:Y15"/>
    <mergeCell ref="T13:T14"/>
    <mergeCell ref="W16:Y16"/>
    <mergeCell ref="U13:U15"/>
    <mergeCell ref="B55:L55"/>
    <mergeCell ref="N20:R20"/>
    <mergeCell ref="N41:N43"/>
    <mergeCell ref="N38:N40"/>
    <mergeCell ref="N50:N52"/>
    <mergeCell ref="B33:D33"/>
    <mergeCell ref="E33:F33"/>
    <mergeCell ref="B34:D34"/>
    <mergeCell ref="I45:K45"/>
    <mergeCell ref="B45:C45"/>
    <mergeCell ref="W49:Y49"/>
    <mergeCell ref="F1:P1"/>
    <mergeCell ref="N17:N19"/>
    <mergeCell ref="N11:U11"/>
    <mergeCell ref="R12:S12"/>
    <mergeCell ref="N16:R16"/>
    <mergeCell ref="S16:U16"/>
    <mergeCell ref="Q13:Q14"/>
    <mergeCell ref="N6:U6"/>
    <mergeCell ref="S20:U20"/>
    <mergeCell ref="N68:O68"/>
    <mergeCell ref="N66:S66"/>
    <mergeCell ref="Q68:R68"/>
    <mergeCell ref="Q41:Q42"/>
    <mergeCell ref="Q50:R50"/>
    <mergeCell ref="S50:U52"/>
    <mergeCell ref="U59:U61"/>
    <mergeCell ref="N62:N64"/>
    <mergeCell ref="Q62:R62"/>
    <mergeCell ref="S62:U64"/>
    <mergeCell ref="T41:T42"/>
    <mergeCell ref="N45:U45"/>
    <mergeCell ref="N47:N49"/>
    <mergeCell ref="Q47:Q48"/>
    <mergeCell ref="T47:T48"/>
    <mergeCell ref="U47:U49"/>
    <mergeCell ref="U41:U43"/>
    <mergeCell ref="B58:L58"/>
    <mergeCell ref="B54:L54"/>
    <mergeCell ref="B57:L57"/>
    <mergeCell ref="B36:D36"/>
    <mergeCell ref="B37:D37"/>
    <mergeCell ref="B38:C38"/>
    <mergeCell ref="B56:L56"/>
    <mergeCell ref="I51:J51"/>
    <mergeCell ref="E47:F47"/>
    <mergeCell ref="I49:K49"/>
    <mergeCell ref="Q79:S79"/>
    <mergeCell ref="N73:Q73"/>
    <mergeCell ref="N74:O74"/>
    <mergeCell ref="Q74:R74"/>
    <mergeCell ref="N75:N77"/>
    <mergeCell ref="N78:P78"/>
    <mergeCell ref="Q75:Q77"/>
    <mergeCell ref="Q78:S78"/>
    <mergeCell ref="N79:P79"/>
    <mergeCell ref="E45:F45"/>
    <mergeCell ref="B39:C39"/>
    <mergeCell ref="B40:D40"/>
    <mergeCell ref="B41:D41"/>
    <mergeCell ref="B42:D42"/>
    <mergeCell ref="E42:G42"/>
    <mergeCell ref="I50:J50"/>
    <mergeCell ref="B52:D52"/>
    <mergeCell ref="R2:T2"/>
    <mergeCell ref="B48:C48"/>
    <mergeCell ref="E48:F48"/>
    <mergeCell ref="B50:D50"/>
    <mergeCell ref="B51:D51"/>
    <mergeCell ref="B46:C46"/>
    <mergeCell ref="E46:F46"/>
    <mergeCell ref="I52:J52"/>
    <mergeCell ref="B47:C47"/>
    <mergeCell ref="N7:O7"/>
    <mergeCell ref="T7:U7"/>
    <mergeCell ref="N8:O8"/>
    <mergeCell ref="T8:U9"/>
    <mergeCell ref="N9:O9"/>
    <mergeCell ref="Q17:Q19"/>
    <mergeCell ref="T17:T19"/>
    <mergeCell ref="N26:U26"/>
    <mergeCell ref="R27:S27"/>
    <mergeCell ref="T28:T30"/>
    <mergeCell ref="U28:U30"/>
    <mergeCell ref="N31:R31"/>
    <mergeCell ref="S31:U31"/>
    <mergeCell ref="Q38:Q40"/>
    <mergeCell ref="T38:T40"/>
    <mergeCell ref="U38:U40"/>
    <mergeCell ref="N33:U33"/>
    <mergeCell ref="N35:N37"/>
    <mergeCell ref="R34:S34"/>
    <mergeCell ref="Q35:Q36"/>
    <mergeCell ref="T35:T36"/>
    <mergeCell ref="U35:U37"/>
    <mergeCell ref="N53:N55"/>
    <mergeCell ref="Q53:Q55"/>
    <mergeCell ref="T53:T55"/>
    <mergeCell ref="U53:U55"/>
    <mergeCell ref="Q59:Q60"/>
    <mergeCell ref="T59:T60"/>
    <mergeCell ref="W50:Y52"/>
    <mergeCell ref="Q52:R52"/>
    <mergeCell ref="I41:J41"/>
    <mergeCell ref="I43:J43"/>
    <mergeCell ref="W62:Y64"/>
    <mergeCell ref="Q64:R64"/>
    <mergeCell ref="N56:N58"/>
    <mergeCell ref="Q56:R56"/>
    <mergeCell ref="S56:U58"/>
    <mergeCell ref="W56:Y58"/>
    <mergeCell ref="Q58:R58"/>
    <mergeCell ref="N59:N61"/>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2.xml><?xml version="1.0" encoding="utf-8"?>
<worksheet xmlns="http://schemas.openxmlformats.org/spreadsheetml/2006/main" xmlns:r="http://schemas.openxmlformats.org/officeDocument/2006/relationships">
  <dimension ref="A1:AF198"/>
  <sheetViews>
    <sheetView workbookViewId="0" topLeftCell="K4">
      <selection activeCell="AD15" sqref="AD15"/>
    </sheetView>
  </sheetViews>
  <sheetFormatPr defaultColWidth="9.00390625" defaultRowHeight="13.5"/>
  <cols>
    <col min="1" max="1" width="2.625" style="0" customWidth="1"/>
    <col min="2" max="11" width="5.625" style="0" customWidth="1"/>
    <col min="12" max="13" width="2.625" style="0" customWidth="1"/>
    <col min="15" max="15" width="9.125" style="0" bestFit="1" customWidth="1"/>
    <col min="17" max="17" width="9.125" style="0" bestFit="1" customWidth="1"/>
    <col min="19" max="19" width="9.125" style="0" bestFit="1" customWidth="1"/>
    <col min="20" max="20" width="9.50390625" style="0" bestFit="1" customWidth="1"/>
    <col min="21" max="21" width="9.125" style="0" bestFit="1" customWidth="1"/>
    <col min="22" max="22" width="4.625" style="0" customWidth="1"/>
    <col min="23" max="27" width="9.125" style="0" bestFit="1" customWidth="1"/>
    <col min="28" max="30" width="9.50390625" style="0" bestFit="1" customWidth="1"/>
  </cols>
  <sheetData>
    <row r="1" spans="6:16" ht="24.75" thickBot="1">
      <c r="F1" s="1223" t="s">
        <v>853</v>
      </c>
      <c r="G1" s="1223"/>
      <c r="H1" s="1223"/>
      <c r="I1" s="1223"/>
      <c r="J1" s="1223"/>
      <c r="K1" s="1223"/>
      <c r="L1" s="1223"/>
      <c r="M1" s="1223"/>
      <c r="N1" s="1223"/>
      <c r="O1" s="1223"/>
      <c r="P1" s="1223"/>
    </row>
    <row r="2" spans="2:31" ht="14.25" thickBot="1">
      <c r="B2" s="1153" t="s">
        <v>506</v>
      </c>
      <c r="C2" s="1154"/>
      <c r="D2" s="2">
        <v>150</v>
      </c>
      <c r="E2" s="1"/>
      <c r="F2" s="3" t="s">
        <v>325</v>
      </c>
      <c r="G2" s="3" t="s">
        <v>849</v>
      </c>
      <c r="H2" s="3" t="s">
        <v>850</v>
      </c>
      <c r="I2" s="3" t="s">
        <v>852</v>
      </c>
      <c r="J2" s="3" t="s">
        <v>851</v>
      </c>
      <c r="K2" s="25" t="s">
        <v>749</v>
      </c>
      <c r="N2" s="1224" t="s">
        <v>301</v>
      </c>
      <c r="O2" s="1225"/>
      <c r="P2" s="1226"/>
      <c r="R2" s="1224" t="s">
        <v>737</v>
      </c>
      <c r="S2" s="1225"/>
      <c r="T2" s="1226"/>
      <c r="W2" s="1737" t="s">
        <v>15</v>
      </c>
      <c r="X2" s="1738"/>
      <c r="Y2" s="1738"/>
      <c r="Z2" s="1738"/>
      <c r="AA2" s="1738"/>
      <c r="AB2" s="1738"/>
      <c r="AC2" s="1738"/>
      <c r="AD2" s="1738"/>
      <c r="AE2" s="1739"/>
    </row>
    <row r="3" spans="2:31" ht="14.25" thickBot="1">
      <c r="B3" s="5" t="s">
        <v>241</v>
      </c>
      <c r="C3" s="536"/>
      <c r="D3" s="6">
        <f>((D2-1)*5+IF(D2&gt;=120,35,IF(D2&gt;=70,30,25)))-(G3+H3+J3+I3)</f>
        <v>0</v>
      </c>
      <c r="E3" s="7" t="s">
        <v>242</v>
      </c>
      <c r="F3" s="8"/>
      <c r="G3" s="8">
        <v>745</v>
      </c>
      <c r="H3" s="8">
        <v>27</v>
      </c>
      <c r="I3" s="8">
        <v>4</v>
      </c>
      <c r="J3" s="8">
        <v>4</v>
      </c>
      <c r="K3" s="9"/>
      <c r="N3" s="10" t="s">
        <v>270</v>
      </c>
      <c r="O3" s="11" t="s">
        <v>271</v>
      </c>
      <c r="P3" s="12" t="s">
        <v>272</v>
      </c>
      <c r="R3" s="70" t="s">
        <v>270</v>
      </c>
      <c r="S3" s="71" t="s">
        <v>271</v>
      </c>
      <c r="T3" s="72" t="s">
        <v>272</v>
      </c>
      <c r="W3" s="1740"/>
      <c r="X3" s="1741"/>
      <c r="Y3" s="1741"/>
      <c r="Z3" s="1741"/>
      <c r="AA3" s="1741"/>
      <c r="AB3" s="1741"/>
      <c r="AC3" s="1741"/>
      <c r="AD3" s="1741"/>
      <c r="AE3" s="1742"/>
    </row>
    <row r="4" spans="2:31" ht="14.25" thickBot="1">
      <c r="B4" s="163" t="s">
        <v>244</v>
      </c>
      <c r="C4" s="397"/>
      <c r="D4" s="164">
        <v>5</v>
      </c>
      <c r="E4" s="7" t="s">
        <v>243</v>
      </c>
      <c r="F4" s="8">
        <v>100</v>
      </c>
      <c r="G4" s="8">
        <v>14</v>
      </c>
      <c r="H4" s="8"/>
      <c r="I4" s="8"/>
      <c r="J4" s="8"/>
      <c r="K4" s="9"/>
      <c r="N4" s="14">
        <f>P4*(0.2+0.5)</f>
        <v>8628.670631322759</v>
      </c>
      <c r="O4" s="15">
        <f>(P4+N4)/2</f>
        <v>10477.67148089192</v>
      </c>
      <c r="P4" s="16">
        <f>$Q$4*($F$29+INT(($F$29*(IF($T$8="true",$P$8,0)+$E$32+$K$52+$K$43-1))))/100</f>
        <v>12326.672330461084</v>
      </c>
      <c r="Q4" s="402">
        <f>1.7*(4*$G$29+$H$29)</f>
        <v>6412.4</v>
      </c>
      <c r="R4" s="14">
        <f>N4*$G$48*(1-$G$45/100)</f>
        <v>6902.936505058207</v>
      </c>
      <c r="S4" s="15">
        <f>O4*$G$48*(1-$G$45/100)</f>
        <v>8382.137184713536</v>
      </c>
      <c r="T4" s="16">
        <f>P4*$G$48*(1-$G$45/100)</f>
        <v>9861.337864368868</v>
      </c>
      <c r="W4" s="392" t="s">
        <v>1374</v>
      </c>
      <c r="X4" s="393">
        <v>2</v>
      </c>
      <c r="Y4" s="393"/>
      <c r="Z4" s="393">
        <v>0</v>
      </c>
      <c r="AA4" s="393">
        <v>0</v>
      </c>
      <c r="AB4" s="393">
        <v>0</v>
      </c>
      <c r="AC4" s="394">
        <v>0</v>
      </c>
      <c r="AD4" s="391"/>
      <c r="AE4" s="138"/>
    </row>
    <row r="5" spans="2:31" ht="14.25" thickBot="1">
      <c r="B5" s="230" t="s">
        <v>855</v>
      </c>
      <c r="C5" s="553"/>
      <c r="D5" s="231">
        <v>30</v>
      </c>
      <c r="E5" s="7" t="s">
        <v>245</v>
      </c>
      <c r="F5" s="8"/>
      <c r="G5" s="8"/>
      <c r="H5" s="8"/>
      <c r="I5" s="8"/>
      <c r="J5" s="8"/>
      <c r="K5" s="9"/>
      <c r="N5" s="21"/>
      <c r="O5" s="21"/>
      <c r="P5" s="21"/>
      <c r="Q5" s="402"/>
      <c r="R5" s="21"/>
      <c r="S5" s="21"/>
      <c r="T5" s="21"/>
      <c r="W5" s="10" t="s">
        <v>1373</v>
      </c>
      <c r="X5" s="364" t="str">
        <f>VLOOKUP($X$4,$W$10:$AA$23:$X$5,2)</f>
        <v>ドラスト</v>
      </c>
      <c r="Y5" s="364" t="str">
        <f>VLOOKUP($Y$4,$W$10:$AA$23:$X$5,2)</f>
        <v>なし</v>
      </c>
      <c r="Z5" s="364" t="str">
        <f>VLOOKUP($Z$4,$W$10:$AA$23:$X$5,2)</f>
        <v>なし</v>
      </c>
      <c r="AA5" s="364" t="str">
        <f>VLOOKUP($AA$4,$W$10:$AA$23:$X$5,2)</f>
        <v>なし</v>
      </c>
      <c r="AB5" s="364" t="str">
        <f>VLOOKUP($AB$4,$W$10:$AA$23:$X$5,2)</f>
        <v>なし</v>
      </c>
      <c r="AC5" s="383" t="str">
        <f>VLOOKUP($AC$4,$W$10:$AA$23:$X$5,2)</f>
        <v>なし</v>
      </c>
      <c r="AD5" s="1227" t="s">
        <v>1377</v>
      </c>
      <c r="AE5" s="1511"/>
    </row>
    <row r="6" spans="2:31" ht="14.25" thickBot="1">
      <c r="B6" s="563" t="s">
        <v>880</v>
      </c>
      <c r="C6" s="564"/>
      <c r="D6" s="232">
        <v>30</v>
      </c>
      <c r="E6" s="42" t="s">
        <v>246</v>
      </c>
      <c r="F6" s="8"/>
      <c r="G6" s="8">
        <v>10</v>
      </c>
      <c r="H6" s="8">
        <v>20</v>
      </c>
      <c r="I6" s="8">
        <v>10</v>
      </c>
      <c r="J6" s="8">
        <v>10</v>
      </c>
      <c r="K6" s="9">
        <v>10</v>
      </c>
      <c r="N6" s="1405" t="s">
        <v>1055</v>
      </c>
      <c r="O6" s="1376"/>
      <c r="P6" s="1376"/>
      <c r="Q6" s="1376"/>
      <c r="R6" s="1406"/>
      <c r="S6" s="460"/>
      <c r="T6" s="460"/>
      <c r="W6" s="7" t="s">
        <v>335</v>
      </c>
      <c r="X6" s="362">
        <f>VLOOKUP($X$4,$W$10:$AA$21:$X$5,3)</f>
        <v>85812</v>
      </c>
      <c r="Y6" s="362">
        <f>VLOOKUP($Y$4,$W$10:$AA$21:$X$5,3)</f>
        <v>0</v>
      </c>
      <c r="Z6" s="362">
        <f>VLOOKUP($Z$4,$W$10:$AA$21:$X$5,3)</f>
        <v>0</v>
      </c>
      <c r="AA6" s="362">
        <f>VLOOKUP($AA$4,$W$10:$AA$21:$X$5,3)</f>
        <v>0</v>
      </c>
      <c r="AB6" s="362">
        <f>VLOOKUP($AB$4,$W$10:$AA$21:$X$5,3)</f>
        <v>0</v>
      </c>
      <c r="AC6" s="384">
        <f>VLOOKUP($AC$4,$W$10:$AA$21:$X$5,3)</f>
        <v>0</v>
      </c>
      <c r="AD6" s="1743">
        <f>INT(SUM(X6:AC6)*AD8)</f>
        <v>6166131</v>
      </c>
      <c r="AE6" s="1744"/>
    </row>
    <row r="7" spans="2:31" ht="14.25" thickBot="1">
      <c r="B7" s="233" t="s">
        <v>883</v>
      </c>
      <c r="C7" s="556"/>
      <c r="D7" s="232">
        <v>30</v>
      </c>
      <c r="E7" s="42" t="s">
        <v>247</v>
      </c>
      <c r="F7" s="8">
        <v>5</v>
      </c>
      <c r="G7" s="8"/>
      <c r="H7" s="8"/>
      <c r="I7" s="8"/>
      <c r="J7" s="8"/>
      <c r="K7" s="9"/>
      <c r="N7" s="1" t="s">
        <v>1053</v>
      </c>
      <c r="O7" s="3"/>
      <c r="P7" s="583">
        <v>0.15</v>
      </c>
      <c r="Q7" s="688" t="s">
        <v>1054</v>
      </c>
      <c r="R7" s="696"/>
      <c r="S7" s="460" t="b">
        <v>0</v>
      </c>
      <c r="T7" s="460" t="str">
        <f>IF(S7=TRUE,"TRUE",IF(R7=1,"TRUE","FLASE"))</f>
        <v>FLASE</v>
      </c>
      <c r="W7" s="7" t="s">
        <v>1371</v>
      </c>
      <c r="X7" s="362">
        <f>VLOOKUP($X$4,$W$10:$AA$21:$X$5,4)</f>
        <v>0.835</v>
      </c>
      <c r="Y7" s="362">
        <f>VLOOKUP($Y$4,$W$10:$AA$21:$X$5,4)</f>
        <v>0</v>
      </c>
      <c r="Z7" s="362">
        <f>VLOOKUP($Z$4,$W$10:$AA$21:$X$5,4)</f>
        <v>0</v>
      </c>
      <c r="AA7" s="362">
        <f>VLOOKUP($AA$4,$W$10:$AA$21:$X$5,4)</f>
        <v>0</v>
      </c>
      <c r="AB7" s="362">
        <f>VLOOKUP($AB$4,$W$10:$AA$21:$X$5,4)</f>
        <v>0</v>
      </c>
      <c r="AC7" s="384">
        <f>VLOOKUP($AC$4,$W$10:$AA$21:$X$5,4)</f>
        <v>0</v>
      </c>
      <c r="AD7" s="1733" t="s">
        <v>1068</v>
      </c>
      <c r="AE7" s="1734"/>
    </row>
    <row r="8" spans="2:31" ht="14.25" thickBot="1">
      <c r="B8" s="233" t="s">
        <v>856</v>
      </c>
      <c r="C8" s="556"/>
      <c r="D8" s="232">
        <v>30</v>
      </c>
      <c r="E8" s="42" t="s">
        <v>248</v>
      </c>
      <c r="F8" s="8">
        <v>2</v>
      </c>
      <c r="G8" s="8"/>
      <c r="H8" s="8">
        <v>2</v>
      </c>
      <c r="I8" s="8"/>
      <c r="J8" s="8"/>
      <c r="K8" s="9">
        <v>7</v>
      </c>
      <c r="N8" s="53" t="s">
        <v>1052</v>
      </c>
      <c r="O8" s="15"/>
      <c r="P8" s="697">
        <v>0.2</v>
      </c>
      <c r="Q8" s="700" t="s">
        <v>1054</v>
      </c>
      <c r="R8" s="501"/>
      <c r="S8" s="460" t="b">
        <v>0</v>
      </c>
      <c r="T8" s="460" t="str">
        <f>IF(S8=TRUE,"TRUE",IF(R8=1,"TRUE","FLASE"))</f>
        <v>FLASE</v>
      </c>
      <c r="W8" s="14" t="s">
        <v>1375</v>
      </c>
      <c r="X8" s="363">
        <f>VLOOKUP($X$4,$W$10:$AA$21:$X$5,5)</f>
        <v>0.835</v>
      </c>
      <c r="Y8" s="363">
        <f>VLOOKUP($Y$4,$W$10:$AA$21:$X$5,5)</f>
        <v>0</v>
      </c>
      <c r="Z8" s="363">
        <f>VLOOKUP($Z$4,$W$10:$AA$21:$X$5,5)</f>
        <v>0</v>
      </c>
      <c r="AA8" s="363">
        <f>VLOOKUP($AA$4,$W$10:$AA$21:$X$5,5)</f>
        <v>0</v>
      </c>
      <c r="AB8" s="363">
        <f>VLOOKUP($AB$4,$W$10:$AA$21:$X$5,5)</f>
        <v>0</v>
      </c>
      <c r="AC8" s="385">
        <f>VLOOKUP($AC$4,$W$10:$AA$21:$X$5,5)</f>
        <v>0</v>
      </c>
      <c r="AD8" s="1735">
        <f>(60/IF(SUM($X$7:$AC$7)&lt;MAX(X8:AC8),MAX(X8:AC8),SUM(X7:AC7)))</f>
        <v>71.8562874251497</v>
      </c>
      <c r="AE8" s="1736"/>
    </row>
    <row r="9" spans="2:31" ht="14.25" thickBot="1">
      <c r="B9" s="305" t="s">
        <v>879</v>
      </c>
      <c r="C9" s="550"/>
      <c r="D9" s="306">
        <v>30</v>
      </c>
      <c r="E9" s="42" t="s">
        <v>249</v>
      </c>
      <c r="F9" s="8"/>
      <c r="G9" s="8">
        <v>7</v>
      </c>
      <c r="H9" s="8">
        <v>7</v>
      </c>
      <c r="I9" s="8">
        <v>7</v>
      </c>
      <c r="J9" s="8">
        <v>7</v>
      </c>
      <c r="K9" s="9"/>
      <c r="N9" s="57"/>
      <c r="O9" s="21"/>
      <c r="Q9" s="402"/>
      <c r="R9" s="21"/>
      <c r="S9" s="21"/>
      <c r="W9" s="311"/>
      <c r="X9" s="312"/>
      <c r="Y9" s="312"/>
      <c r="Z9" s="312"/>
      <c r="AA9" s="312"/>
      <c r="AB9" s="218"/>
      <c r="AC9" s="397"/>
      <c r="AD9" s="397"/>
      <c r="AE9" s="397"/>
    </row>
    <row r="10" spans="2:31" ht="15" thickBot="1" thickTop="1">
      <c r="B10" s="304" t="s">
        <v>882</v>
      </c>
      <c r="C10" s="560"/>
      <c r="D10" s="204">
        <v>20</v>
      </c>
      <c r="E10" s="42" t="s">
        <v>250</v>
      </c>
      <c r="F10" s="8"/>
      <c r="G10" s="8"/>
      <c r="H10" s="8">
        <v>10</v>
      </c>
      <c r="I10" s="8"/>
      <c r="J10" s="8"/>
      <c r="K10" s="9"/>
      <c r="N10" s="1158" t="s">
        <v>904</v>
      </c>
      <c r="O10" s="1159"/>
      <c r="P10" s="1159"/>
      <c r="Q10" s="1159"/>
      <c r="R10" s="1159"/>
      <c r="S10" s="1159"/>
      <c r="T10" s="1159"/>
      <c r="U10" s="1160"/>
      <c r="W10" s="376" t="s">
        <v>1374</v>
      </c>
      <c r="X10" s="375" t="s">
        <v>1373</v>
      </c>
      <c r="Y10" s="371" t="s">
        <v>741</v>
      </c>
      <c r="Z10" s="372" t="s">
        <v>1371</v>
      </c>
      <c r="AA10" s="395" t="s">
        <v>1372</v>
      </c>
      <c r="AB10" s="22"/>
      <c r="AC10" s="21"/>
      <c r="AD10" s="21"/>
      <c r="AE10" s="21"/>
    </row>
    <row r="11" spans="2:31" ht="14.25" thickBot="1">
      <c r="B11" s="217" t="s">
        <v>899</v>
      </c>
      <c r="C11" s="561"/>
      <c r="D11" s="9">
        <v>20</v>
      </c>
      <c r="E11" s="42" t="s">
        <v>698</v>
      </c>
      <c r="F11" s="8"/>
      <c r="G11" s="8">
        <v>5</v>
      </c>
      <c r="H11" s="8">
        <v>25</v>
      </c>
      <c r="I11" s="8"/>
      <c r="J11" s="8"/>
      <c r="K11" s="9">
        <v>10</v>
      </c>
      <c r="N11" s="89" t="s">
        <v>443</v>
      </c>
      <c r="O11" s="90">
        <f>D8</f>
        <v>30</v>
      </c>
      <c r="P11" s="609" t="s">
        <v>252</v>
      </c>
      <c r="Q11" s="610">
        <f>(320+4*O11)/100</f>
        <v>4.4</v>
      </c>
      <c r="R11" s="255" t="s">
        <v>267</v>
      </c>
      <c r="S11" s="607">
        <v>26</v>
      </c>
      <c r="T11" s="611" t="s">
        <v>295</v>
      </c>
      <c r="U11" s="600">
        <f>(5+INT(O11/2))/100</f>
        <v>0.2</v>
      </c>
      <c r="W11" s="377">
        <v>0</v>
      </c>
      <c r="X11" s="713" t="s">
        <v>1383</v>
      </c>
      <c r="Y11" s="714">
        <v>0</v>
      </c>
      <c r="Z11" s="3">
        <v>0</v>
      </c>
      <c r="AA11" s="4">
        <v>0</v>
      </c>
      <c r="AB11" s="21"/>
      <c r="AD11" s="21"/>
      <c r="AE11" s="21"/>
    </row>
    <row r="12" spans="2:31" ht="14.25" thickBot="1">
      <c r="B12" s="307" t="s">
        <v>881</v>
      </c>
      <c r="C12" s="562"/>
      <c r="D12" s="306">
        <v>30</v>
      </c>
      <c r="E12" s="42" t="s">
        <v>587</v>
      </c>
      <c r="F12" s="8"/>
      <c r="G12" s="8"/>
      <c r="H12" s="8"/>
      <c r="I12" s="8"/>
      <c r="J12" s="8"/>
      <c r="K12" s="9"/>
      <c r="N12" s="1227" t="s">
        <v>304</v>
      </c>
      <c r="O12" s="76" t="s">
        <v>257</v>
      </c>
      <c r="P12" s="521">
        <f>MIN(INT(($N$4*Q11)*(1+$B$34+$E$34+$B$52+$K$35)*($A$25)),ReadMe!$M$99)</f>
        <v>43661</v>
      </c>
      <c r="Q12" s="1234" t="s">
        <v>725</v>
      </c>
      <c r="R12" s="186" t="s">
        <v>257</v>
      </c>
      <c r="S12" s="155">
        <f>MIN(INT(P12*$E$41),ReadMe!$M$99)</f>
        <v>56759</v>
      </c>
      <c r="T12" s="1564" t="s">
        <v>323</v>
      </c>
      <c r="U12" s="1556">
        <f>INT(P13*(1-$G$41)+S13*$G$41)</f>
        <v>58317</v>
      </c>
      <c r="W12" s="378">
        <v>1</v>
      </c>
      <c r="X12" s="715" t="s">
        <v>1342</v>
      </c>
      <c r="Y12" s="366">
        <f>INT(U25)</f>
        <v>251152</v>
      </c>
      <c r="Z12" s="357">
        <v>1.75</v>
      </c>
      <c r="AA12" s="716">
        <v>2.8</v>
      </c>
      <c r="AB12" s="21"/>
      <c r="AC12" s="21"/>
      <c r="AD12" s="21"/>
      <c r="AE12" s="21"/>
    </row>
    <row r="13" spans="2:31" ht="14.25" thickTop="1">
      <c r="B13" s="10" t="s">
        <v>1013</v>
      </c>
      <c r="C13" s="552"/>
      <c r="D13" s="204">
        <v>20</v>
      </c>
      <c r="E13" s="42" t="s">
        <v>697</v>
      </c>
      <c r="F13" s="8"/>
      <c r="G13" s="8"/>
      <c r="H13" s="8"/>
      <c r="I13" s="8"/>
      <c r="J13" s="8"/>
      <c r="K13" s="9"/>
      <c r="N13" s="1228"/>
      <c r="O13" s="43" t="s">
        <v>258</v>
      </c>
      <c r="P13" s="522">
        <f>INT((P12+P14)/2)</f>
        <v>53016</v>
      </c>
      <c r="Q13" s="1235"/>
      <c r="R13" s="79" t="s">
        <v>258</v>
      </c>
      <c r="S13" s="156">
        <f>MIN(INT(P13*(($E$41+$F$41)/2)),ReadMe!$M$99)</f>
        <v>74222</v>
      </c>
      <c r="T13" s="1565"/>
      <c r="U13" s="1557"/>
      <c r="W13" s="378">
        <v>2</v>
      </c>
      <c r="X13" s="715" t="s">
        <v>1343</v>
      </c>
      <c r="Y13" s="367">
        <f>INT(U35)</f>
        <v>85812</v>
      </c>
      <c r="Z13" s="357">
        <v>0.835</v>
      </c>
      <c r="AA13" s="716">
        <v>0.835</v>
      </c>
      <c r="AB13" s="21"/>
      <c r="AC13" s="21"/>
      <c r="AD13" s="21"/>
      <c r="AE13" s="21"/>
    </row>
    <row r="14" spans="2:31" ht="14.25" thickBot="1">
      <c r="B14" s="967" t="s">
        <v>1011</v>
      </c>
      <c r="C14" s="968"/>
      <c r="D14" s="9">
        <v>20</v>
      </c>
      <c r="E14" s="42" t="s">
        <v>260</v>
      </c>
      <c r="F14" s="8"/>
      <c r="G14" s="8">
        <v>10</v>
      </c>
      <c r="H14" s="8">
        <v>10</v>
      </c>
      <c r="I14" s="8"/>
      <c r="J14" s="8"/>
      <c r="K14" s="9"/>
      <c r="N14" s="1229"/>
      <c r="O14" s="15" t="s">
        <v>259</v>
      </c>
      <c r="P14" s="523">
        <f>MIN(INT(($P$4*Q11)*(1+$B$34+$E$34+$B$52+$K$35)*($A$25)),ReadMe!$M$99)</f>
        <v>62372</v>
      </c>
      <c r="Q14" s="1236"/>
      <c r="R14" s="86" t="s">
        <v>259</v>
      </c>
      <c r="S14" s="157">
        <f>MIN(INT(P14*$F$41),ReadMe!$M$99)</f>
        <v>93558</v>
      </c>
      <c r="T14" s="1566"/>
      <c r="U14" s="1558"/>
      <c r="W14" s="378">
        <v>3</v>
      </c>
      <c r="X14" s="715" t="s">
        <v>1349</v>
      </c>
      <c r="Y14" s="367">
        <f>INT(U41)</f>
        <v>102556</v>
      </c>
      <c r="Z14" s="358">
        <v>0.91</v>
      </c>
      <c r="AA14" s="717">
        <v>0.91</v>
      </c>
      <c r="AB14" s="21"/>
      <c r="AC14" s="21"/>
      <c r="AD14" s="21"/>
      <c r="AE14" s="21"/>
    </row>
    <row r="15" spans="2:31" ht="14.25" thickBot="1">
      <c r="B15" s="307" t="s">
        <v>1009</v>
      </c>
      <c r="C15" s="562"/>
      <c r="D15" s="306">
        <v>20</v>
      </c>
      <c r="E15" s="42" t="s">
        <v>261</v>
      </c>
      <c r="F15" s="8">
        <v>15</v>
      </c>
      <c r="G15" s="8"/>
      <c r="H15" s="8"/>
      <c r="I15" s="8"/>
      <c r="J15" s="8"/>
      <c r="K15" s="9"/>
      <c r="N15" s="1456" t="s">
        <v>1057</v>
      </c>
      <c r="O15" s="1457"/>
      <c r="P15" s="608" t="s">
        <v>257</v>
      </c>
      <c r="Q15" s="695">
        <f>P12*8</f>
        <v>349288</v>
      </c>
      <c r="R15" s="518"/>
      <c r="S15" s="478"/>
      <c r="T15" s="1392">
        <f>U19*S11*$G$47</f>
        <v>11971719.44347826</v>
      </c>
      <c r="U15" s="1393"/>
      <c r="W15" s="378">
        <v>4</v>
      </c>
      <c r="X15" s="718" t="s">
        <v>1352</v>
      </c>
      <c r="Y15" s="368">
        <f>INT(U19)</f>
        <v>460450</v>
      </c>
      <c r="Z15" s="359">
        <v>2.3</v>
      </c>
      <c r="AA15" s="719">
        <v>2.3</v>
      </c>
      <c r="AB15" s="21"/>
      <c r="AC15" s="21"/>
      <c r="AD15" s="21"/>
      <c r="AE15" s="21"/>
    </row>
    <row r="16" spans="2:32" ht="15" thickBot="1" thickTop="1">
      <c r="B16" s="70" t="s">
        <v>1356</v>
      </c>
      <c r="C16" s="21"/>
      <c r="D16" s="699">
        <v>20</v>
      </c>
      <c r="E16" s="42" t="s">
        <v>262</v>
      </c>
      <c r="F16" s="8">
        <v>4</v>
      </c>
      <c r="G16" s="8"/>
      <c r="H16" s="8">
        <v>8</v>
      </c>
      <c r="I16" s="8"/>
      <c r="J16" s="8"/>
      <c r="K16" s="9"/>
      <c r="N16" s="1456"/>
      <c r="O16" s="1457"/>
      <c r="P16" s="173" t="s">
        <v>335</v>
      </c>
      <c r="Q16" s="253">
        <f>U12*8</f>
        <v>466536</v>
      </c>
      <c r="R16" s="1438" t="s">
        <v>179</v>
      </c>
      <c r="S16" s="1710"/>
      <c r="T16" s="1173"/>
      <c r="U16" s="1174"/>
      <c r="W16" s="378">
        <v>5</v>
      </c>
      <c r="X16" s="720" t="s">
        <v>1354</v>
      </c>
      <c r="Y16" s="368">
        <f>INT(U47)</f>
        <v>59649</v>
      </c>
      <c r="Z16" s="361">
        <v>0.75</v>
      </c>
      <c r="AA16" s="721">
        <v>1.3</v>
      </c>
      <c r="AB16" s="21"/>
      <c r="AC16" s="21"/>
      <c r="AD16" s="21"/>
      <c r="AE16" s="21"/>
      <c r="AF16" s="21"/>
    </row>
    <row r="17" spans="2:32" ht="14.25" thickBot="1">
      <c r="B17" s="969" t="s">
        <v>1056</v>
      </c>
      <c r="C17" s="970"/>
      <c r="D17" s="224">
        <v>20</v>
      </c>
      <c r="E17" s="42" t="s">
        <v>5</v>
      </c>
      <c r="F17" s="8"/>
      <c r="G17" s="8">
        <v>3</v>
      </c>
      <c r="H17" s="8">
        <v>3</v>
      </c>
      <c r="I17" s="8">
        <v>3</v>
      </c>
      <c r="J17" s="8">
        <v>3</v>
      </c>
      <c r="K17" s="9"/>
      <c r="N17" s="1458"/>
      <c r="O17" s="1459"/>
      <c r="P17" s="92" t="s">
        <v>329</v>
      </c>
      <c r="Q17" s="154">
        <f>S14*8</f>
        <v>748464</v>
      </c>
      <c r="R17" s="1164" t="s">
        <v>1344</v>
      </c>
      <c r="S17" s="1165"/>
      <c r="T17" s="1170"/>
      <c r="U17" s="1171"/>
      <c r="W17" s="379">
        <v>6</v>
      </c>
      <c r="X17" s="722" t="s">
        <v>1353</v>
      </c>
      <c r="Y17" s="369">
        <f>INT(U65)</f>
        <v>78486</v>
      </c>
      <c r="Z17" s="360">
        <v>1.5</v>
      </c>
      <c r="AA17" s="723">
        <v>1.5</v>
      </c>
      <c r="AB17" s="21"/>
      <c r="AC17" s="21"/>
      <c r="AD17" s="21"/>
      <c r="AE17" s="21"/>
      <c r="AF17" s="21"/>
    </row>
    <row r="18" spans="1:32" ht="14.25" thickBot="1">
      <c r="A18" s="402"/>
      <c r="B18" s="7" t="s">
        <v>98</v>
      </c>
      <c r="C18" s="43"/>
      <c r="D18" s="44">
        <f>20+D17</f>
        <v>40</v>
      </c>
      <c r="E18" s="42" t="s">
        <v>5</v>
      </c>
      <c r="F18" s="8">
        <v>1</v>
      </c>
      <c r="G18" s="8">
        <v>1</v>
      </c>
      <c r="H18" s="8">
        <v>1</v>
      </c>
      <c r="I18" s="8">
        <v>1</v>
      </c>
      <c r="J18" s="8">
        <v>1</v>
      </c>
      <c r="K18" s="9"/>
      <c r="N18" s="934" t="s">
        <v>1345</v>
      </c>
      <c r="O18" s="195"/>
      <c r="P18" s="195"/>
      <c r="Q18" s="195"/>
      <c r="R18" s="195"/>
      <c r="S18" s="666"/>
      <c r="T18" s="1487">
        <f>(T15*W43+AD6*X43)*G47</f>
        <v>11391160.599130435</v>
      </c>
      <c r="U18" s="1528"/>
      <c r="W18" s="379">
        <v>7</v>
      </c>
      <c r="X18" s="724" t="s">
        <v>1350</v>
      </c>
      <c r="Y18" s="367">
        <f>INT(U53)</f>
        <v>71160</v>
      </c>
      <c r="Z18" s="358">
        <v>0.57</v>
      </c>
      <c r="AA18" s="717">
        <v>0.57</v>
      </c>
      <c r="AB18" s="21"/>
      <c r="AC18" s="21"/>
      <c r="AD18" s="21"/>
      <c r="AE18" s="21"/>
      <c r="AF18" s="21"/>
    </row>
    <row r="19" spans="1:32" ht="14.25" thickBot="1">
      <c r="A19" s="402"/>
      <c r="B19" s="14" t="s">
        <v>874</v>
      </c>
      <c r="C19" s="15"/>
      <c r="D19" s="16">
        <f>280-4*D17</f>
        <v>200</v>
      </c>
      <c r="E19" s="42" t="s">
        <v>5</v>
      </c>
      <c r="F19" s="8">
        <v>1</v>
      </c>
      <c r="G19" s="8">
        <v>1</v>
      </c>
      <c r="H19" s="8">
        <v>1</v>
      </c>
      <c r="I19" s="8">
        <v>1</v>
      </c>
      <c r="J19" s="8">
        <v>1</v>
      </c>
      <c r="K19" s="9"/>
      <c r="U19" s="402">
        <f>(Q16/($A$25))*($A$26)</f>
        <v>460450.74782608694</v>
      </c>
      <c r="W19" s="379">
        <v>8</v>
      </c>
      <c r="X19" s="725" t="s">
        <v>1351</v>
      </c>
      <c r="Y19" s="368">
        <f>INT(U59)</f>
        <v>41858</v>
      </c>
      <c r="Z19" s="359">
        <v>0.41</v>
      </c>
      <c r="AA19" s="719">
        <v>0.41</v>
      </c>
      <c r="AB19" s="21"/>
      <c r="AC19" s="21"/>
      <c r="AD19" s="21"/>
      <c r="AE19" s="21"/>
      <c r="AF19" s="21"/>
    </row>
    <row r="20" spans="2:31" ht="14.25" thickBot="1">
      <c r="B20" s="934"/>
      <c r="C20" s="195"/>
      <c r="D20" s="666"/>
      <c r="E20" s="42" t="s">
        <v>5</v>
      </c>
      <c r="F20" s="8"/>
      <c r="G20" s="8"/>
      <c r="H20" s="8"/>
      <c r="I20" s="8"/>
      <c r="J20" s="8"/>
      <c r="K20" s="9"/>
      <c r="N20" s="1158" t="s">
        <v>1006</v>
      </c>
      <c r="O20" s="1159"/>
      <c r="P20" s="1159"/>
      <c r="Q20" s="1159"/>
      <c r="R20" s="1159"/>
      <c r="S20" s="1160"/>
      <c r="U20" s="289"/>
      <c r="W20" s="380">
        <v>9</v>
      </c>
      <c r="X20" s="715" t="s">
        <v>1348</v>
      </c>
      <c r="Y20" s="367">
        <f>INT(U71)</f>
        <v>44997</v>
      </c>
      <c r="Z20" s="357">
        <v>0.86</v>
      </c>
      <c r="AA20" s="716">
        <v>2.15</v>
      </c>
      <c r="AB20" s="21"/>
      <c r="AC20" s="21"/>
      <c r="AD20" s="21"/>
      <c r="AE20" s="21"/>
    </row>
    <row r="21" spans="1:32" ht="14.25" thickBot="1">
      <c r="A21" s="402" t="b">
        <v>1</v>
      </c>
      <c r="B21" s="973" t="s">
        <v>381</v>
      </c>
      <c r="C21" s="673"/>
      <c r="D21" s="409"/>
      <c r="E21" s="42" t="s">
        <v>1305</v>
      </c>
      <c r="F21" s="8"/>
      <c r="G21" s="8">
        <v>2</v>
      </c>
      <c r="H21" s="8">
        <v>2</v>
      </c>
      <c r="I21" s="8">
        <v>2</v>
      </c>
      <c r="J21" s="8">
        <v>2</v>
      </c>
      <c r="K21" s="9"/>
      <c r="N21" s="244" t="s">
        <v>443</v>
      </c>
      <c r="O21" s="202">
        <f>D5</f>
        <v>30</v>
      </c>
      <c r="P21" s="221" t="s">
        <v>252</v>
      </c>
      <c r="Q21" s="245">
        <f>(280+4*O21)/100</f>
        <v>4</v>
      </c>
      <c r="R21" s="52" t="s">
        <v>267</v>
      </c>
      <c r="S21" s="73">
        <v>21</v>
      </c>
      <c r="W21" s="381">
        <v>10</v>
      </c>
      <c r="X21" s="720" t="s">
        <v>1376</v>
      </c>
      <c r="Y21" s="370">
        <f>INT(U80*0.25)</f>
        <v>12034</v>
      </c>
      <c r="Z21" s="362">
        <v>0.6</v>
      </c>
      <c r="AA21" s="223">
        <v>1.5</v>
      </c>
      <c r="AB21" s="21"/>
      <c r="AC21" s="21"/>
      <c r="AD21" s="21"/>
      <c r="AE21" s="21"/>
      <c r="AF21" s="21"/>
    </row>
    <row r="22" spans="1:32" ht="14.25" thickBot="1">
      <c r="A22" s="402" t="str">
        <f>IF(A21=TRUE,"TRUE",IF(D22=1,"TRUE","FLASE"))</f>
        <v>TRUE</v>
      </c>
      <c r="B22" s="972" t="s">
        <v>382</v>
      </c>
      <c r="C22" s="491"/>
      <c r="D22" s="501"/>
      <c r="E22" s="42" t="s">
        <v>1307</v>
      </c>
      <c r="F22" s="8"/>
      <c r="G22" s="8">
        <v>3</v>
      </c>
      <c r="H22" s="8">
        <v>3</v>
      </c>
      <c r="I22" s="8">
        <v>3</v>
      </c>
      <c r="J22" s="8">
        <v>3</v>
      </c>
      <c r="K22" s="9"/>
      <c r="N22" s="1227" t="s">
        <v>304</v>
      </c>
      <c r="O22" s="76" t="s">
        <v>257</v>
      </c>
      <c r="P22" s="521">
        <f>MIN(INT(($R$4*Q21)*(1+$B$34+$E$34+$B$52+$K$35)*($A$25)),ReadMe!$M$99)</f>
        <v>31753</v>
      </c>
      <c r="Q22" s="1234" t="s">
        <v>725</v>
      </c>
      <c r="R22" s="186" t="s">
        <v>257</v>
      </c>
      <c r="S22" s="155">
        <f>MIN(INT(P22*$E$41),ReadMe!$M$99)</f>
        <v>41278</v>
      </c>
      <c r="T22" s="1564" t="s">
        <v>323</v>
      </c>
      <c r="U22" s="1556">
        <f>INT(P23*(1-$G$41)+S23*$G$41)</f>
        <v>42412</v>
      </c>
      <c r="W22" s="381">
        <v>11</v>
      </c>
      <c r="X22" s="720" t="s">
        <v>1384</v>
      </c>
      <c r="Y22" s="261">
        <f>INT(U86)</f>
        <v>32440</v>
      </c>
      <c r="Z22" s="43">
        <v>0.7</v>
      </c>
      <c r="AA22" s="44">
        <v>2</v>
      </c>
      <c r="AB22" s="21"/>
      <c r="AC22" s="21"/>
      <c r="AD22" s="21"/>
      <c r="AE22" s="21"/>
      <c r="AF22" s="21"/>
    </row>
    <row r="23" spans="1:32" ht="14.25" thickBot="1">
      <c r="A23" s="402" t="b">
        <v>1</v>
      </c>
      <c r="B23" s="698" t="s">
        <v>298</v>
      </c>
      <c r="C23" s="11"/>
      <c r="D23" s="204">
        <v>10</v>
      </c>
      <c r="E23" s="42" t="s">
        <v>181</v>
      </c>
      <c r="F23" s="8"/>
      <c r="G23" s="8"/>
      <c r="H23" s="8"/>
      <c r="I23" s="8"/>
      <c r="J23" s="8"/>
      <c r="K23" s="9"/>
      <c r="N23" s="1228"/>
      <c r="O23" s="43" t="s">
        <v>258</v>
      </c>
      <c r="P23" s="522">
        <f>INT((P22+P24)/2)</f>
        <v>38557</v>
      </c>
      <c r="Q23" s="1235"/>
      <c r="R23" s="79" t="s">
        <v>258</v>
      </c>
      <c r="S23" s="156">
        <f>MIN(INT(P23*(($E$41+$F$41)/2)),ReadMe!$M$99)</f>
        <v>53979</v>
      </c>
      <c r="T23" s="1565"/>
      <c r="U23" s="1557"/>
      <c r="W23" s="382">
        <v>12</v>
      </c>
      <c r="X23" s="726" t="s">
        <v>1347</v>
      </c>
      <c r="Y23" s="373">
        <f>INT(U92)</f>
        <v>27208</v>
      </c>
      <c r="Z23" s="374">
        <v>0.45</v>
      </c>
      <c r="AA23" s="727">
        <v>0.45</v>
      </c>
      <c r="AB23" s="21"/>
      <c r="AC23" s="21"/>
      <c r="AD23" s="21"/>
      <c r="AE23" s="21"/>
      <c r="AF23" s="21"/>
    </row>
    <row r="24" spans="1:32" ht="14.25" thickBot="1">
      <c r="A24" s="402" t="str">
        <f>IF(A23=TRUE,"TRUE",IF(D24=1,"TRUE","FLASE"))</f>
        <v>TRUE</v>
      </c>
      <c r="B24" s="14" t="s">
        <v>820</v>
      </c>
      <c r="C24" s="15"/>
      <c r="D24" s="501"/>
      <c r="E24" s="42" t="s">
        <v>14</v>
      </c>
      <c r="F24" s="8"/>
      <c r="G24" s="8"/>
      <c r="H24" s="8"/>
      <c r="I24" s="8"/>
      <c r="J24" s="8"/>
      <c r="K24" s="9"/>
      <c r="N24" s="1229"/>
      <c r="O24" s="15" t="s">
        <v>259</v>
      </c>
      <c r="P24" s="523">
        <f>MIN(INT(($T$4*Q21)*(1+$B$34+$E$34+$B$52+$K$35)*($A$25)),ReadMe!$M$99)</f>
        <v>45362</v>
      </c>
      <c r="Q24" s="1236"/>
      <c r="R24" s="86" t="s">
        <v>259</v>
      </c>
      <c r="S24" s="157">
        <f>MIN(INT(P24*$F$41),ReadMe!$M$99)</f>
        <v>68043</v>
      </c>
      <c r="T24" s="1566"/>
      <c r="U24" s="1558"/>
      <c r="W24" s="389"/>
      <c r="X24" s="389"/>
      <c r="Y24" s="389"/>
      <c r="Z24" s="389"/>
      <c r="AA24" s="389"/>
      <c r="AB24" s="389"/>
      <c r="AC24" s="21"/>
      <c r="AD24" s="21"/>
      <c r="AE24" s="21"/>
      <c r="AF24" s="21"/>
    </row>
    <row r="25" spans="1:32" ht="14.25" thickBot="1">
      <c r="A25" s="502">
        <f>IF(A24="true",IF(D23&gt;0,1+(5+D23)/100,1),1)</f>
        <v>1.15</v>
      </c>
      <c r="B25" s="612" t="s">
        <v>296</v>
      </c>
      <c r="C25" s="312"/>
      <c r="D25" s="200"/>
      <c r="E25" s="42" t="s">
        <v>1153</v>
      </c>
      <c r="F25" s="8">
        <v>20</v>
      </c>
      <c r="G25" s="8"/>
      <c r="H25" s="8"/>
      <c r="I25" s="8"/>
      <c r="J25" s="8"/>
      <c r="K25" s="9"/>
      <c r="N25" s="1456" t="s">
        <v>1058</v>
      </c>
      <c r="O25" s="1457"/>
      <c r="P25" s="608" t="s">
        <v>257</v>
      </c>
      <c r="Q25" s="695">
        <f>P22*6</f>
        <v>190518</v>
      </c>
      <c r="U25" s="402">
        <f>(Q26/($A$25))*($A$26)</f>
        <v>251152.80000000005</v>
      </c>
      <c r="AF25" s="21"/>
    </row>
    <row r="26" spans="1:32" ht="14.25" thickBot="1">
      <c r="A26" s="402">
        <f>IF(A24="true",IF(D23&gt;0,MIN((((15+3*$D$23)/50)*(5+$D$23))/100+1,1.17),1),1)</f>
        <v>1.135</v>
      </c>
      <c r="B26" s="47" t="s">
        <v>297</v>
      </c>
      <c r="C26" s="491"/>
      <c r="D26" s="228">
        <v>0</v>
      </c>
      <c r="E26" s="42" t="s">
        <v>715</v>
      </c>
      <c r="F26" s="8"/>
      <c r="G26" s="8"/>
      <c r="H26" s="8"/>
      <c r="I26" s="8"/>
      <c r="J26" s="8"/>
      <c r="K26" s="9"/>
      <c r="N26" s="1456"/>
      <c r="O26" s="1457"/>
      <c r="P26" s="173" t="s">
        <v>335</v>
      </c>
      <c r="Q26" s="253">
        <f>U22*6</f>
        <v>254472</v>
      </c>
      <c r="W26" s="1608" t="s">
        <v>1079</v>
      </c>
      <c r="X26" s="1731"/>
      <c r="Y26" s="1731"/>
      <c r="Z26" s="1731"/>
      <c r="AA26" s="1731"/>
      <c r="AB26" s="1731"/>
      <c r="AC26" s="1731"/>
      <c r="AD26" s="1732"/>
      <c r="AF26" s="21"/>
    </row>
    <row r="27" spans="2:30" ht="14.25" thickBot="1">
      <c r="B27" s="1132" t="s">
        <v>465</v>
      </c>
      <c r="C27" s="1128"/>
      <c r="D27" s="20">
        <v>9</v>
      </c>
      <c r="E27" s="216" t="s">
        <v>1310</v>
      </c>
      <c r="F27" s="488">
        <v>0</v>
      </c>
      <c r="G27" s="40">
        <f>ROUNDDOWN(G3*D28%,0)</f>
        <v>37</v>
      </c>
      <c r="H27" s="40">
        <f>ROUNDDOWN(H3*D28%,0)</f>
        <v>1</v>
      </c>
      <c r="I27" s="40">
        <f>ROUNDDOWN(I3*D28%,0)</f>
        <v>0</v>
      </c>
      <c r="J27" s="40">
        <f>ROUNDDOWN(J3*D28%,0)</f>
        <v>0</v>
      </c>
      <c r="K27" s="9">
        <v>280</v>
      </c>
      <c r="N27" s="1458"/>
      <c r="O27" s="1459"/>
      <c r="P27" s="92" t="s">
        <v>329</v>
      </c>
      <c r="Q27" s="154">
        <f>S24*6</f>
        <v>408258</v>
      </c>
      <c r="W27" s="1721" t="s">
        <v>339</v>
      </c>
      <c r="X27" s="1722"/>
      <c r="Y27" s="293" t="s">
        <v>340</v>
      </c>
      <c r="Z27" s="294" t="s">
        <v>1071</v>
      </c>
      <c r="AA27" s="294" t="s">
        <v>1072</v>
      </c>
      <c r="AB27" s="294" t="s">
        <v>1073</v>
      </c>
      <c r="AC27" s="294" t="s">
        <v>1074</v>
      </c>
      <c r="AD27" s="299" t="s">
        <v>1075</v>
      </c>
    </row>
    <row r="28" spans="2:32" ht="14.25" thickBot="1">
      <c r="B28" s="14" t="s">
        <v>263</v>
      </c>
      <c r="C28" s="538"/>
      <c r="D28" s="46">
        <f>ROUNDUP(D27/2,0)</f>
        <v>5</v>
      </c>
      <c r="E28" s="7" t="s">
        <v>264</v>
      </c>
      <c r="F28" s="362">
        <f>IF(A22="true",Y42,0)+D29</f>
        <v>44.23180603925341</v>
      </c>
      <c r="G28" s="43">
        <f>SUM(G4:G26)</f>
        <v>56</v>
      </c>
      <c r="H28" s="43">
        <f>SUM(H4:H26)</f>
        <v>92</v>
      </c>
      <c r="I28" s="43">
        <f>SUM(I4:I26)</f>
        <v>27</v>
      </c>
      <c r="J28" s="43">
        <f>SUM(J4:J26)</f>
        <v>27</v>
      </c>
      <c r="K28" s="44">
        <f>SUM(K3:K27)+D29</f>
        <v>307</v>
      </c>
      <c r="W28" s="1727" t="s">
        <v>1069</v>
      </c>
      <c r="X28" s="1728"/>
      <c r="Y28" s="387">
        <f>Q21*6*S21</f>
        <v>504</v>
      </c>
      <c r="Z28" s="300" t="s">
        <v>1078</v>
      </c>
      <c r="AA28" s="300" t="s">
        <v>1078</v>
      </c>
      <c r="AB28" s="300" t="s">
        <v>1078</v>
      </c>
      <c r="AC28" s="300" t="s">
        <v>1078</v>
      </c>
      <c r="AD28" s="301" t="s">
        <v>1078</v>
      </c>
      <c r="AF28" s="21"/>
    </row>
    <row r="29" spans="2:32" ht="14.25" thickBot="1">
      <c r="B29" s="17" t="s">
        <v>1378</v>
      </c>
      <c r="C29" s="195"/>
      <c r="D29" s="313">
        <v>0</v>
      </c>
      <c r="E29" s="14" t="s">
        <v>256</v>
      </c>
      <c r="F29" s="48">
        <f>SUM(F4:F28)</f>
        <v>192.2318060392534</v>
      </c>
      <c r="G29" s="546">
        <f>INT((G3+G27+G28)*(1+G32))</f>
        <v>913</v>
      </c>
      <c r="H29" s="546">
        <f>INT((H3+H27+H28)*(1+H32))</f>
        <v>120</v>
      </c>
      <c r="I29" s="546">
        <f>INT((I3+I27+I28)*(1+I32))</f>
        <v>31</v>
      </c>
      <c r="J29" s="546">
        <f>INT((J3+J27+J28)*(1+J32))</f>
        <v>31</v>
      </c>
      <c r="K29" s="547">
        <f>($G$29*0.4+$J$29*0.8+$H$29*1.6+K28)*(1+K32)</f>
        <v>889</v>
      </c>
      <c r="N29" s="1158" t="s">
        <v>900</v>
      </c>
      <c r="O29" s="1159"/>
      <c r="P29" s="1159"/>
      <c r="Q29" s="1159"/>
      <c r="R29" s="1159"/>
      <c r="S29" s="1159"/>
      <c r="T29" s="1159"/>
      <c r="U29" s="1160"/>
      <c r="W29" s="1723" t="s">
        <v>904</v>
      </c>
      <c r="X29" s="1724"/>
      <c r="Y29" s="386">
        <f>Q11*8*S11</f>
        <v>915.2</v>
      </c>
      <c r="Z29" s="302" t="s">
        <v>1078</v>
      </c>
      <c r="AA29" s="302" t="s">
        <v>1078</v>
      </c>
      <c r="AB29" s="302" t="s">
        <v>1078</v>
      </c>
      <c r="AC29" s="302" t="s">
        <v>1078</v>
      </c>
      <c r="AD29" s="303" t="s">
        <v>1078</v>
      </c>
      <c r="AF29" s="21"/>
    </row>
    <row r="30" spans="2:32" ht="14.25" thickBot="1">
      <c r="B30" s="1305" t="s">
        <v>981</v>
      </c>
      <c r="C30" s="1306"/>
      <c r="D30" s="1306"/>
      <c r="E30" s="1306"/>
      <c r="F30" s="1306"/>
      <c r="G30" s="1306"/>
      <c r="H30" s="1306"/>
      <c r="I30" s="1306"/>
      <c r="J30" s="1306"/>
      <c r="K30" s="1307"/>
      <c r="N30" s="147" t="s">
        <v>443</v>
      </c>
      <c r="O30" s="208">
        <f>D6</f>
        <v>30</v>
      </c>
      <c r="P30" s="207" t="s">
        <v>252</v>
      </c>
      <c r="Q30" s="214">
        <f>(640+6*O30)/100</f>
        <v>8.2</v>
      </c>
      <c r="R30" s="252" t="s">
        <v>334</v>
      </c>
      <c r="S30" s="208">
        <f>IF(O30&gt;=21,6,IF(O30&gt;=11,5,4))</f>
        <v>6</v>
      </c>
      <c r="T30" s="286" t="s">
        <v>267</v>
      </c>
      <c r="U30" s="72">
        <v>72</v>
      </c>
      <c r="W30" s="1723" t="s">
        <v>880</v>
      </c>
      <c r="X30" s="1724"/>
      <c r="Y30" s="386">
        <f>Q30*U30</f>
        <v>590.4</v>
      </c>
      <c r="Z30" s="386">
        <f>$Y$30+Y30</f>
        <v>1180.8</v>
      </c>
      <c r="AA30" s="386">
        <f>$Y$30+Z30</f>
        <v>1771.1999999999998</v>
      </c>
      <c r="AB30" s="386">
        <f>$Y$30+AA30</f>
        <v>2361.6</v>
      </c>
      <c r="AC30" s="386">
        <f>$Y$30+AB30</f>
        <v>2952</v>
      </c>
      <c r="AD30" s="388">
        <f>$Y$30+AC30</f>
        <v>3542.4</v>
      </c>
      <c r="AF30" s="21"/>
    </row>
    <row r="31" spans="2:30" ht="13.5">
      <c r="B31" s="1218" t="s">
        <v>762</v>
      </c>
      <c r="C31" s="1219"/>
      <c r="D31" s="1220"/>
      <c r="E31" s="1308" t="s">
        <v>982</v>
      </c>
      <c r="F31" s="1309"/>
      <c r="G31" s="1" t="s">
        <v>986</v>
      </c>
      <c r="H31" s="3" t="s">
        <v>985</v>
      </c>
      <c r="I31" s="3" t="s">
        <v>984</v>
      </c>
      <c r="J31" s="3" t="s">
        <v>983</v>
      </c>
      <c r="K31" s="4" t="s">
        <v>987</v>
      </c>
      <c r="N31" s="1227" t="s">
        <v>304</v>
      </c>
      <c r="O31" s="76" t="s">
        <v>257</v>
      </c>
      <c r="P31" s="521">
        <f>MIN(INT(($R$4*Q30)*(1+$B$34+$E$34+$B$52+$K$35)*($A$25)),ReadMe!$M$99)</f>
        <v>65094</v>
      </c>
      <c r="Q31" s="1234" t="s">
        <v>725</v>
      </c>
      <c r="R31" s="186" t="s">
        <v>257</v>
      </c>
      <c r="S31" s="155">
        <f>MIN(INT(P31*$E$41),ReadMe!$M$99)</f>
        <v>84622</v>
      </c>
      <c r="T31" s="1564" t="s">
        <v>323</v>
      </c>
      <c r="U31" s="1556">
        <f>INT(P32*(1-$G$41)+S32*$G$41)</f>
        <v>86947</v>
      </c>
      <c r="W31" s="1723" t="s">
        <v>1070</v>
      </c>
      <c r="X31" s="1724"/>
      <c r="Y31" s="386">
        <f>Q37*S37</f>
        <v>646.8000000000001</v>
      </c>
      <c r="Z31" s="302">
        <f>$Y$31+Y31*0.7</f>
        <v>1099.56</v>
      </c>
      <c r="AA31" s="302">
        <f>$Y$31+Z31*0.7</f>
        <v>1416.492</v>
      </c>
      <c r="AB31" s="302">
        <f>$Y$31+AA31*0.7</f>
        <v>1638.3444</v>
      </c>
      <c r="AC31" s="302">
        <f>$Y$31+AB31*0.7</f>
        <v>1793.6410799999999</v>
      </c>
      <c r="AD31" s="303">
        <f>$Y$31+AC31*0.7</f>
        <v>1902.3487559999999</v>
      </c>
    </row>
    <row r="32" spans="2:30" ht="14.25" thickBot="1">
      <c r="B32" s="1210">
        <v>0</v>
      </c>
      <c r="C32" s="1211"/>
      <c r="D32" s="1212"/>
      <c r="E32" s="1130">
        <v>0</v>
      </c>
      <c r="F32" s="1131"/>
      <c r="G32" s="542">
        <v>0.09</v>
      </c>
      <c r="H32" s="543">
        <v>0</v>
      </c>
      <c r="I32" s="543">
        <v>0</v>
      </c>
      <c r="J32" s="543">
        <v>0</v>
      </c>
      <c r="K32" s="544">
        <v>0</v>
      </c>
      <c r="N32" s="1228"/>
      <c r="O32" s="43" t="s">
        <v>258</v>
      </c>
      <c r="P32" s="522">
        <f>INT((P31+P33)/2)</f>
        <v>79043</v>
      </c>
      <c r="Q32" s="1235"/>
      <c r="R32" s="79" t="s">
        <v>258</v>
      </c>
      <c r="S32" s="156">
        <f>MIN(INT(P32*(($E$41+$F$41)/2)),ReadMe!$M$99)</f>
        <v>110660</v>
      </c>
      <c r="T32" s="1565"/>
      <c r="U32" s="1557"/>
      <c r="W32" s="1729" t="s">
        <v>1076</v>
      </c>
      <c r="X32" s="1730"/>
      <c r="Y32" s="386">
        <f aca="true" t="shared" si="0" ref="Y32:AD32">($Q$21*6+Y31/$S$37)*21</f>
        <v>709.8</v>
      </c>
      <c r="Z32" s="386">
        <f t="shared" si="0"/>
        <v>853.8599999999999</v>
      </c>
      <c r="AA32" s="386">
        <f t="shared" si="0"/>
        <v>954.7020000000001</v>
      </c>
      <c r="AB32" s="386">
        <f t="shared" si="0"/>
        <v>1025.2914</v>
      </c>
      <c r="AC32" s="386">
        <f t="shared" si="0"/>
        <v>1074.7039799999998</v>
      </c>
      <c r="AD32" s="388">
        <f t="shared" si="0"/>
        <v>1109.292786</v>
      </c>
    </row>
    <row r="33" spans="2:30" ht="14.25" thickBot="1">
      <c r="B33" s="1221" t="s">
        <v>135</v>
      </c>
      <c r="C33" s="1166"/>
      <c r="D33" s="1177"/>
      <c r="E33" s="1261" t="s">
        <v>877</v>
      </c>
      <c r="F33" s="1262"/>
      <c r="N33" s="1229"/>
      <c r="O33" s="15" t="s">
        <v>259</v>
      </c>
      <c r="P33" s="523">
        <f>MIN(INT(($T$4*Q30)*(1+$B$34+$E$34+$B$52+$K$35)*($A$25)),ReadMe!$M$99)</f>
        <v>92992</v>
      </c>
      <c r="Q33" s="1236"/>
      <c r="R33" s="86" t="s">
        <v>259</v>
      </c>
      <c r="S33" s="157">
        <f>MIN(INT(P33*$F$41),ReadMe!$M$99)</f>
        <v>139488</v>
      </c>
      <c r="T33" s="1566"/>
      <c r="U33" s="1558"/>
      <c r="W33" s="1725" t="s">
        <v>1077</v>
      </c>
      <c r="X33" s="1726"/>
      <c r="Y33" s="295">
        <f aca="true" t="shared" si="1" ref="Y33:AD33">($Q$21*6+Y30/$U$30)*21</f>
        <v>676.2</v>
      </c>
      <c r="Z33" s="295">
        <f t="shared" si="1"/>
        <v>848.4</v>
      </c>
      <c r="AA33" s="295">
        <f t="shared" si="1"/>
        <v>1020.5999999999999</v>
      </c>
      <c r="AB33" s="295">
        <f t="shared" si="1"/>
        <v>1192.8</v>
      </c>
      <c r="AC33" s="295">
        <f t="shared" si="1"/>
        <v>1365</v>
      </c>
      <c r="AD33" s="296">
        <f t="shared" si="1"/>
        <v>1537.2</v>
      </c>
    </row>
    <row r="34" spans="2:21" ht="14.25" thickBot="1">
      <c r="B34" s="1210">
        <v>0</v>
      </c>
      <c r="C34" s="1222"/>
      <c r="D34" s="1212"/>
      <c r="E34" s="1130">
        <v>0</v>
      </c>
      <c r="F34" s="1131"/>
      <c r="I34" s="1297" t="s">
        <v>1417</v>
      </c>
      <c r="J34" s="1298"/>
      <c r="K34" s="1299"/>
      <c r="N34" s="1342" t="s">
        <v>268</v>
      </c>
      <c r="O34" s="1420"/>
      <c r="P34" s="1420"/>
      <c r="Q34" s="1420"/>
      <c r="R34" s="1488">
        <f>U35*U30*G47</f>
        <v>6178529.426086957</v>
      </c>
      <c r="S34" s="1488"/>
      <c r="T34" s="1488"/>
      <c r="U34" s="1528"/>
    </row>
    <row r="35" spans="9:25" ht="14.25" thickBot="1">
      <c r="I35" s="14" t="s">
        <v>1410</v>
      </c>
      <c r="J35" s="15"/>
      <c r="K35" s="534">
        <v>0</v>
      </c>
      <c r="U35" s="402">
        <f>(U31/($A$25))*($A$26)</f>
        <v>85812.90869565218</v>
      </c>
      <c r="W35" s="459" t="s">
        <v>374</v>
      </c>
      <c r="X35" s="459"/>
      <c r="Y35" s="459"/>
    </row>
    <row r="36" spans="2:25" ht="14.25" thickBot="1">
      <c r="B36" s="1280" t="s">
        <v>88</v>
      </c>
      <c r="C36" s="1281"/>
      <c r="D36" s="1281"/>
      <c r="E36" s="503" t="s">
        <v>257</v>
      </c>
      <c r="F36" s="19" t="s">
        <v>259</v>
      </c>
      <c r="G36" s="504" t="s">
        <v>1085</v>
      </c>
      <c r="N36" s="1158" t="s">
        <v>1015</v>
      </c>
      <c r="O36" s="1159"/>
      <c r="P36" s="1159"/>
      <c r="Q36" s="1159"/>
      <c r="R36" s="1159"/>
      <c r="S36" s="1160"/>
      <c r="T36" s="238"/>
      <c r="U36" s="239"/>
      <c r="W36" s="459">
        <f>50/S11*60</f>
        <v>115.38461538461539</v>
      </c>
      <c r="X36" s="459">
        <f>W36*W43</f>
        <v>103.84615384615385</v>
      </c>
      <c r="Y36" s="459" t="s">
        <v>375</v>
      </c>
    </row>
    <row r="37" spans="2:25" ht="14.25" thickBot="1">
      <c r="B37" s="1213" t="s">
        <v>90</v>
      </c>
      <c r="C37" s="1214"/>
      <c r="D37" s="1215"/>
      <c r="E37" s="35">
        <v>1.3</v>
      </c>
      <c r="F37" s="507">
        <v>1.5</v>
      </c>
      <c r="G37" s="241">
        <f>0.25+IF(T7="true",P7,0)</f>
        <v>0.25</v>
      </c>
      <c r="I37" s="1256" t="s">
        <v>438</v>
      </c>
      <c r="J37" s="1300"/>
      <c r="K37" s="1301"/>
      <c r="N37" s="244" t="s">
        <v>443</v>
      </c>
      <c r="O37" s="202">
        <f>D7</f>
        <v>30</v>
      </c>
      <c r="P37" s="221" t="s">
        <v>252</v>
      </c>
      <c r="Q37" s="245">
        <f>(800+6*O37)/100</f>
        <v>9.8</v>
      </c>
      <c r="R37" s="17" t="s">
        <v>267</v>
      </c>
      <c r="S37" s="83">
        <v>66</v>
      </c>
      <c r="T37" s="116"/>
      <c r="U37" s="239"/>
      <c r="W37" s="459">
        <f>50/(AD8*2)*60</f>
        <v>20.875</v>
      </c>
      <c r="X37" s="459">
        <f>W37*X43</f>
        <v>2.0874999999999995</v>
      </c>
      <c r="Y37" s="459" t="s">
        <v>376</v>
      </c>
    </row>
    <row r="38" spans="2:25" ht="14.25" thickBot="1">
      <c r="B38" s="1228" t="s">
        <v>86</v>
      </c>
      <c r="C38" s="1284"/>
      <c r="D38" s="516">
        <v>0</v>
      </c>
      <c r="E38" s="506"/>
      <c r="F38" s="505">
        <f>D38/100</f>
        <v>0</v>
      </c>
      <c r="G38" s="511">
        <f>IF(D38=0,0,(5+ROUNDUP(D38/2,0))/100)</f>
        <v>0</v>
      </c>
      <c r="I38" s="1256" t="s">
        <v>440</v>
      </c>
      <c r="J38" s="1257"/>
      <c r="K38" s="1258"/>
      <c r="N38" s="1227" t="s">
        <v>304</v>
      </c>
      <c r="O38" s="76" t="s">
        <v>257</v>
      </c>
      <c r="P38" s="521">
        <f>MIN(INT(($R$4*Q37)*(1+$B$34+$E$34+$B$52+$K$35)*($A$25)),ReadMe!$M$99)</f>
        <v>77796</v>
      </c>
      <c r="Q38" s="1234" t="s">
        <v>725</v>
      </c>
      <c r="R38" s="186" t="s">
        <v>257</v>
      </c>
      <c r="S38" s="155">
        <f>MIN(INT(P38*$E$41),ReadMe!$M$99)</f>
        <v>101134</v>
      </c>
      <c r="T38" s="1564" t="s">
        <v>323</v>
      </c>
      <c r="U38" s="1556">
        <f>INT(P39*(1-$G$41)+S39*$G$41)</f>
        <v>103912</v>
      </c>
      <c r="W38" s="459"/>
      <c r="X38" s="459">
        <f>X36+X37+60</f>
        <v>165.93365384615385</v>
      </c>
      <c r="Y38" s="459" t="s">
        <v>371</v>
      </c>
    </row>
    <row r="39" spans="1:25" ht="14.25" thickBot="1">
      <c r="A39" s="402" t="b">
        <v>0</v>
      </c>
      <c r="B39" s="1228" t="s">
        <v>87</v>
      </c>
      <c r="C39" s="1284"/>
      <c r="D39" s="512"/>
      <c r="E39" s="506"/>
      <c r="F39" s="505">
        <f>IF(H39="true",0.15,0)</f>
        <v>0</v>
      </c>
      <c r="G39" s="511">
        <f>IF(H39="true",0.1,0)</f>
        <v>0</v>
      </c>
      <c r="H39" s="402" t="str">
        <f>IF(A39=TRUE,"TRUE",IF(D39=1,"TRUE","FLASE"))</f>
        <v>FLASE</v>
      </c>
      <c r="I39" s="771" t="s">
        <v>437</v>
      </c>
      <c r="J39" s="205"/>
      <c r="K39" s="228">
        <v>2</v>
      </c>
      <c r="N39" s="1228"/>
      <c r="O39" s="43" t="s">
        <v>258</v>
      </c>
      <c r="P39" s="522">
        <f>INT((P38+P40)/2)</f>
        <v>94466</v>
      </c>
      <c r="Q39" s="1235"/>
      <c r="R39" s="79" t="s">
        <v>258</v>
      </c>
      <c r="S39" s="156">
        <f>MIN(INT(P39*(($E$41+$F$41)/2)),ReadMe!$M$99)</f>
        <v>132252</v>
      </c>
      <c r="T39" s="1565"/>
      <c r="U39" s="1557"/>
      <c r="W39" s="459"/>
      <c r="X39" s="459">
        <f>60/X38</f>
        <v>0.36159030196267045</v>
      </c>
      <c r="Y39" s="459" t="s">
        <v>372</v>
      </c>
    </row>
    <row r="40" spans="2:25" ht="14.25" thickBot="1">
      <c r="B40" s="1285" t="s">
        <v>89</v>
      </c>
      <c r="C40" s="1286"/>
      <c r="D40" s="1287"/>
      <c r="E40" s="513">
        <v>0</v>
      </c>
      <c r="F40" s="514">
        <v>0</v>
      </c>
      <c r="G40" s="515">
        <v>0</v>
      </c>
      <c r="N40" s="1229"/>
      <c r="O40" s="15" t="s">
        <v>259</v>
      </c>
      <c r="P40" s="523">
        <f>MIN(INT(($T$4*Q37)*(1+$B$34+$E$34+$B$52+$K$35)*($A$25)),ReadMe!$M$99)</f>
        <v>111137</v>
      </c>
      <c r="Q40" s="1236"/>
      <c r="R40" s="86" t="s">
        <v>259</v>
      </c>
      <c r="S40" s="157">
        <f>MIN(INT(P40*$F$41),ReadMe!$M$99)</f>
        <v>166705</v>
      </c>
      <c r="T40" s="1566"/>
      <c r="U40" s="1558"/>
      <c r="W40" s="459"/>
      <c r="X40" s="459">
        <f>20*X39</f>
        <v>7.231806039253409</v>
      </c>
      <c r="Y40" s="459" t="s">
        <v>373</v>
      </c>
    </row>
    <row r="41" spans="2:25" ht="14.25" thickBot="1">
      <c r="B41" s="1290" t="s">
        <v>91</v>
      </c>
      <c r="C41" s="1291"/>
      <c r="D41" s="1292"/>
      <c r="E41" s="508">
        <f>E37+E39+E40</f>
        <v>1.3</v>
      </c>
      <c r="F41" s="509">
        <f>F37+MAX(F38,F39)+F40</f>
        <v>1.5</v>
      </c>
      <c r="G41" s="510">
        <f>G37+MAX(G38,G39)+G40</f>
        <v>0.25</v>
      </c>
      <c r="I41" s="1259" t="s">
        <v>128</v>
      </c>
      <c r="J41" s="1260"/>
      <c r="K41" s="791"/>
      <c r="L41" s="402" t="b">
        <v>0</v>
      </c>
      <c r="M41" s="486" t="str">
        <f>IF(L41=TRUE,"TRUE",IF(K41=1,"TRUE","FLASE"))</f>
        <v>FLASE</v>
      </c>
      <c r="U41" s="402">
        <f>(U38/($A$25))*($A$26)</f>
        <v>102556.62608695653</v>
      </c>
      <c r="W41" s="460"/>
      <c r="X41" s="460"/>
      <c r="Y41" s="460"/>
    </row>
    <row r="42" spans="2:25" ht="14.25" thickBot="1">
      <c r="B42" s="1216" t="s">
        <v>331</v>
      </c>
      <c r="C42" s="1199"/>
      <c r="D42" s="1200"/>
      <c r="E42" s="1253">
        <f>(($E$41+$F$41)/2-1)*$G$41+1</f>
        <v>1.1</v>
      </c>
      <c r="F42" s="1254"/>
      <c r="G42" s="1255"/>
      <c r="I42" s="590" t="s">
        <v>1119</v>
      </c>
      <c r="J42" s="788"/>
      <c r="K42" s="789">
        <v>0</v>
      </c>
      <c r="N42" s="1158" t="s">
        <v>879</v>
      </c>
      <c r="O42" s="1159"/>
      <c r="P42" s="1159"/>
      <c r="Q42" s="1159"/>
      <c r="R42" s="1159"/>
      <c r="S42" s="1160"/>
      <c r="T42" s="96"/>
      <c r="U42" s="96"/>
      <c r="W42" s="460">
        <f>D19-180</f>
        <v>20</v>
      </c>
      <c r="X42" s="460">
        <f>(20/2)*X43</f>
        <v>0.9999999999999998</v>
      </c>
      <c r="Y42" s="460">
        <f>D18*W43+X42+X40</f>
        <v>44.23180603925341</v>
      </c>
    </row>
    <row r="43" spans="9:25" ht="14.25" thickBot="1">
      <c r="I43" s="1251" t="s">
        <v>854</v>
      </c>
      <c r="J43" s="1252"/>
      <c r="K43" s="790">
        <f>IF(M41="true",IF(K42&gt;0,10+ROUNDUP(K42/3,0),10)/100,0)</f>
        <v>0</v>
      </c>
      <c r="L43" s="323"/>
      <c r="M43" s="323"/>
      <c r="N43" s="147" t="s">
        <v>443</v>
      </c>
      <c r="O43" s="208">
        <f>D9</f>
        <v>30</v>
      </c>
      <c r="P43" s="207" t="s">
        <v>252</v>
      </c>
      <c r="Q43" s="214">
        <f>(420+5*O43)/100</f>
        <v>5.7</v>
      </c>
      <c r="R43" s="252" t="s">
        <v>334</v>
      </c>
      <c r="S43" s="208">
        <f>3+INT(O43/10)</f>
        <v>6</v>
      </c>
      <c r="T43" s="57"/>
      <c r="U43" s="57"/>
      <c r="W43" s="460">
        <f>180/D19</f>
        <v>0.9</v>
      </c>
      <c r="X43" s="971">
        <f>1-W43</f>
        <v>0.09999999999999998</v>
      </c>
      <c r="Y43" s="460"/>
    </row>
    <row r="44" spans="14:25" ht="14.25" thickBot="1">
      <c r="N44" s="1227" t="s">
        <v>304</v>
      </c>
      <c r="O44" s="76" t="s">
        <v>257</v>
      </c>
      <c r="P44" s="521">
        <f>MIN(INT(($R$4*Q43)*(1+$B$34+$E$34+$B$52+$K$35)*($A$25)),ReadMe!$M$99)</f>
        <v>45248</v>
      </c>
      <c r="Q44" s="1234" t="s">
        <v>725</v>
      </c>
      <c r="R44" s="186" t="s">
        <v>257</v>
      </c>
      <c r="S44" s="155">
        <f>MIN(INT(P44*$E$41),ReadMe!$M$99)</f>
        <v>58822</v>
      </c>
      <c r="T44" s="1564" t="s">
        <v>323</v>
      </c>
      <c r="U44" s="1556">
        <f>INT(P45*(1-$G$41)+S45*$G$41)</f>
        <v>60438</v>
      </c>
      <c r="W44" s="460" t="s">
        <v>379</v>
      </c>
      <c r="X44" s="460" t="s">
        <v>380</v>
      </c>
      <c r="Y44" s="460"/>
    </row>
    <row r="45" spans="2:25" ht="14.25" thickBot="1">
      <c r="B45" s="1282" t="s">
        <v>735</v>
      </c>
      <c r="C45" s="1283"/>
      <c r="D45" s="533">
        <v>125</v>
      </c>
      <c r="E45" s="1249" t="s">
        <v>736</v>
      </c>
      <c r="F45" s="1250"/>
      <c r="G45" s="25">
        <f>IF(D2&gt;D45,0,$D$45-$D$2)</f>
        <v>0</v>
      </c>
      <c r="I45" s="1137" t="s">
        <v>159</v>
      </c>
      <c r="J45" s="1138"/>
      <c r="K45" s="1139"/>
      <c r="N45" s="1228"/>
      <c r="O45" s="43" t="s">
        <v>258</v>
      </c>
      <c r="P45" s="522">
        <f>INT((P44+P46)/2)</f>
        <v>54944</v>
      </c>
      <c r="Q45" s="1235"/>
      <c r="R45" s="79" t="s">
        <v>258</v>
      </c>
      <c r="S45" s="156">
        <f>MIN(INT(P45*(($E$41+$F$41)/2)),ReadMe!$M$99)</f>
        <v>76921</v>
      </c>
      <c r="T45" s="1565"/>
      <c r="U45" s="1557"/>
      <c r="W45" s="460"/>
      <c r="X45" s="460"/>
      <c r="Y45" s="460"/>
    </row>
    <row r="46" spans="2:25" ht="14.25" thickBot="1">
      <c r="B46" s="1242" t="s">
        <v>769</v>
      </c>
      <c r="C46" s="1243"/>
      <c r="D46" s="9">
        <v>12</v>
      </c>
      <c r="E46" s="1242" t="s">
        <v>771</v>
      </c>
      <c r="F46" s="1243"/>
      <c r="G46" s="615">
        <f>IF(G45&gt;0,"-",D46)</f>
        <v>12</v>
      </c>
      <c r="I46" s="416" t="s">
        <v>160</v>
      </c>
      <c r="J46" s="539"/>
      <c r="K46" s="204">
        <v>0</v>
      </c>
      <c r="L46" s="323"/>
      <c r="M46" s="323"/>
      <c r="N46" s="1229"/>
      <c r="O46" s="15" t="s">
        <v>259</v>
      </c>
      <c r="P46" s="523">
        <f>MIN(INT(($T$4*Q43)*(1+$B$34+$E$34+$B$52+$K$35)*($A$25)),ReadMe!$M$99)</f>
        <v>64641</v>
      </c>
      <c r="Q46" s="1236"/>
      <c r="R46" s="86" t="s">
        <v>259</v>
      </c>
      <c r="S46" s="157">
        <f>MIN(INT(P46*$F$41),ReadMe!$M$99)</f>
        <v>96961</v>
      </c>
      <c r="T46" s="1566"/>
      <c r="U46" s="1558"/>
      <c r="W46" s="460"/>
      <c r="X46" s="460"/>
      <c r="Y46" s="460"/>
    </row>
    <row r="47" spans="2:25" ht="14.25" thickBot="1">
      <c r="B47" s="1293" t="s">
        <v>734</v>
      </c>
      <c r="C47" s="1294"/>
      <c r="D47" s="9">
        <v>0</v>
      </c>
      <c r="E47" s="1242" t="s">
        <v>770</v>
      </c>
      <c r="F47" s="1243"/>
      <c r="G47" s="511">
        <f>MAX((MIN(100+SQRT($K$29)-SQRT($D$46),100)-2*G45)/100,0)</f>
        <v>1</v>
      </c>
      <c r="I47" s="417" t="s">
        <v>161</v>
      </c>
      <c r="J47" s="540"/>
      <c r="K47" s="418">
        <f>IF(K46&gt;0,(K46+10)/100,0)</f>
        <v>0</v>
      </c>
      <c r="U47" s="402">
        <f>(U44/($A$25))*($A$26)</f>
        <v>59649.67826086957</v>
      </c>
      <c r="W47" s="460"/>
      <c r="X47" s="460"/>
      <c r="Y47" s="460"/>
    </row>
    <row r="48" spans="2:25" ht="14.25" thickBot="1">
      <c r="B48" s="1278" t="s">
        <v>979</v>
      </c>
      <c r="C48" s="1279"/>
      <c r="D48" s="534">
        <v>0.25</v>
      </c>
      <c r="E48" s="1197" t="s">
        <v>980</v>
      </c>
      <c r="F48" s="1198"/>
      <c r="G48" s="28">
        <f>1-(D48-ROUNDUP(D48*(K47+B32+U11),2))</f>
        <v>0.8</v>
      </c>
      <c r="N48" s="1158" t="s">
        <v>901</v>
      </c>
      <c r="O48" s="1159"/>
      <c r="P48" s="1159"/>
      <c r="Q48" s="1160"/>
      <c r="R48" s="289"/>
      <c r="S48" s="289"/>
      <c r="T48" s="289"/>
      <c r="U48" s="289"/>
      <c r="W48" s="460"/>
      <c r="X48" s="460"/>
      <c r="Y48" s="460"/>
    </row>
    <row r="49" spans="4:25" ht="14.25" thickBot="1">
      <c r="D49" s="402">
        <f>$D$47*(1-($K$47+$B$32))</f>
        <v>0</v>
      </c>
      <c r="E49" s="289"/>
      <c r="F49" s="289"/>
      <c r="G49" s="298"/>
      <c r="I49" s="1246" t="s">
        <v>79</v>
      </c>
      <c r="J49" s="1247"/>
      <c r="K49" s="1248"/>
      <c r="L49" s="323"/>
      <c r="M49" s="162"/>
      <c r="N49" s="147" t="s">
        <v>443</v>
      </c>
      <c r="O49" s="208">
        <f>D10</f>
        <v>20</v>
      </c>
      <c r="P49" s="285" t="s">
        <v>252</v>
      </c>
      <c r="Q49" s="287">
        <f>(580+5*O49)/100</f>
        <v>6.8</v>
      </c>
      <c r="R49" s="290"/>
      <c r="S49" s="290"/>
      <c r="T49" s="234"/>
      <c r="U49" s="288"/>
      <c r="W49" s="460"/>
      <c r="X49" s="460"/>
      <c r="Y49" s="460"/>
    </row>
    <row r="50" spans="2:21" ht="13.5">
      <c r="B50" s="1153" t="s">
        <v>1084</v>
      </c>
      <c r="C50" s="1133"/>
      <c r="D50" s="1129"/>
      <c r="I50" s="1127" t="s">
        <v>988</v>
      </c>
      <c r="J50" s="1217"/>
      <c r="K50" s="468"/>
      <c r="L50" s="486" t="b">
        <v>0</v>
      </c>
      <c r="M50" s="486" t="str">
        <f>IF(L50=TRUE,"TRUE",IF(K50=1,"TRUE","FLASE"))</f>
        <v>FLASE</v>
      </c>
      <c r="N50" s="1227" t="s">
        <v>304</v>
      </c>
      <c r="O50" s="76" t="s">
        <v>257</v>
      </c>
      <c r="P50" s="521">
        <f>MIN(INT(($R$4*Q49)*(1+$B$34+$E$34+$B$52+$K$35)*($A$25)),ReadMe!$M$99)</f>
        <v>53980</v>
      </c>
      <c r="Q50" s="1234" t="s">
        <v>725</v>
      </c>
      <c r="R50" s="186" t="s">
        <v>257</v>
      </c>
      <c r="S50" s="155">
        <f>MIN(INT(P50*$E$41),ReadMe!$M$99)</f>
        <v>70174</v>
      </c>
      <c r="T50" s="1564" t="s">
        <v>323</v>
      </c>
      <c r="U50" s="1556">
        <f>INT(P51*(1-$G$41)+S51*$G$41)</f>
        <v>72101</v>
      </c>
    </row>
    <row r="51" spans="2:21" ht="14.25" thickBot="1">
      <c r="B51" s="1187" t="s">
        <v>877</v>
      </c>
      <c r="C51" s="1188"/>
      <c r="D51" s="1189"/>
      <c r="I51" s="1244" t="s">
        <v>989</v>
      </c>
      <c r="J51" s="1245"/>
      <c r="K51" s="469"/>
      <c r="L51" s="486" t="b">
        <v>0</v>
      </c>
      <c r="M51" s="486" t="str">
        <f>IF(L51=TRUE,"TRUE",IF(K51=1,"TRUE","FLASE"))</f>
        <v>FLASE</v>
      </c>
      <c r="N51" s="1228"/>
      <c r="O51" s="43" t="s">
        <v>258</v>
      </c>
      <c r="P51" s="522">
        <f>INT((P50+P52)/2)</f>
        <v>65547</v>
      </c>
      <c r="Q51" s="1235"/>
      <c r="R51" s="79" t="s">
        <v>258</v>
      </c>
      <c r="S51" s="156">
        <f>MIN(INT(P51*(($E$41+$F$41)/2)),ReadMe!$M$99)</f>
        <v>91765</v>
      </c>
      <c r="T51" s="1565"/>
      <c r="U51" s="1557"/>
    </row>
    <row r="52" spans="2:21" ht="14.25" customHeight="1" thickBot="1">
      <c r="B52" s="1194">
        <v>0</v>
      </c>
      <c r="C52" s="1195"/>
      <c r="D52" s="1196"/>
      <c r="I52" s="1240" t="s">
        <v>854</v>
      </c>
      <c r="J52" s="1241"/>
      <c r="K52" s="206">
        <f>IF(M50="TRUE",1.04,IF(M51="TRUE",1.02,1))</f>
        <v>1</v>
      </c>
      <c r="L52" s="333"/>
      <c r="M52" s="333"/>
      <c r="N52" s="1229"/>
      <c r="O52" s="15" t="s">
        <v>259</v>
      </c>
      <c r="P52" s="523">
        <f>MIN(INT(($T$4*Q49)*(1+$B$34+$E$34+$B$52+$K$35)*($A$25)),ReadMe!$M$99)</f>
        <v>77115</v>
      </c>
      <c r="Q52" s="1236"/>
      <c r="R52" s="86" t="s">
        <v>259</v>
      </c>
      <c r="S52" s="157">
        <f>MIN(INT(P52*$F$41),ReadMe!$M$99)</f>
        <v>115672</v>
      </c>
      <c r="T52" s="1566"/>
      <c r="U52" s="1558"/>
    </row>
    <row r="53" ht="14.25" thickBot="1">
      <c r="U53" s="402">
        <f>(U50/($A$25))*($A$26)</f>
        <v>71160.55217391305</v>
      </c>
    </row>
    <row r="54" spans="2:21" ht="14.25" thickBot="1">
      <c r="B54" s="1201" t="s">
        <v>265</v>
      </c>
      <c r="C54" s="1202"/>
      <c r="D54" s="1202"/>
      <c r="E54" s="1202"/>
      <c r="F54" s="1202"/>
      <c r="G54" s="1202"/>
      <c r="H54" s="1202"/>
      <c r="I54" s="1202"/>
      <c r="J54" s="1202"/>
      <c r="K54" s="1202"/>
      <c r="L54" s="1203"/>
      <c r="N54" s="1158" t="s">
        <v>902</v>
      </c>
      <c r="O54" s="1159"/>
      <c r="P54" s="1159"/>
      <c r="Q54" s="1159"/>
      <c r="R54" s="1159"/>
      <c r="S54" s="1160"/>
      <c r="T54" s="116"/>
      <c r="U54" s="239"/>
    </row>
    <row r="55" spans="2:21" ht="14.25" thickBot="1">
      <c r="B55" s="1745" t="s">
        <v>377</v>
      </c>
      <c r="C55" s="1746"/>
      <c r="D55" s="1746"/>
      <c r="E55" s="1746"/>
      <c r="F55" s="1746"/>
      <c r="G55" s="1746"/>
      <c r="H55" s="1746"/>
      <c r="I55" s="1746"/>
      <c r="J55" s="1746"/>
      <c r="K55" s="1746"/>
      <c r="L55" s="1747"/>
      <c r="N55" s="244" t="s">
        <v>443</v>
      </c>
      <c r="O55" s="202">
        <f>D11</f>
        <v>20</v>
      </c>
      <c r="P55" s="221" t="s">
        <v>252</v>
      </c>
      <c r="Q55" s="245">
        <f>(300+5*O55)/100</f>
        <v>4</v>
      </c>
      <c r="R55" s="242" t="s">
        <v>903</v>
      </c>
      <c r="S55" s="243">
        <f>(10+ROUNDUP(O55/2,1))/100</f>
        <v>0.2</v>
      </c>
      <c r="T55" s="116"/>
      <c r="U55" s="239"/>
    </row>
    <row r="56" spans="2:21" ht="13.5">
      <c r="B56" s="1748" t="s">
        <v>378</v>
      </c>
      <c r="C56" s="1749"/>
      <c r="D56" s="1749"/>
      <c r="E56" s="1749"/>
      <c r="F56" s="1749"/>
      <c r="G56" s="1749"/>
      <c r="H56" s="1749"/>
      <c r="I56" s="1749"/>
      <c r="J56" s="1749"/>
      <c r="K56" s="1749"/>
      <c r="L56" s="1750"/>
      <c r="N56" s="1227" t="s">
        <v>304</v>
      </c>
      <c r="O56" s="76" t="s">
        <v>257</v>
      </c>
      <c r="P56" s="521">
        <f>MIN(INT(($R$4*Q55)*(1+$B$34+$E$34+$B$52+$K$35)*($A$25)),ReadMe!$M$99)</f>
        <v>31753</v>
      </c>
      <c r="Q56" s="1234" t="s">
        <v>725</v>
      </c>
      <c r="R56" s="186" t="s">
        <v>257</v>
      </c>
      <c r="S56" s="155">
        <f>MIN(INT(P56*$E$41),ReadMe!$M$99)</f>
        <v>41278</v>
      </c>
      <c r="T56" s="1564" t="s">
        <v>323</v>
      </c>
      <c r="U56" s="1556">
        <f>INT(P57*(1-$G$41)+S57*$G$41)</f>
        <v>42412</v>
      </c>
    </row>
    <row r="57" spans="2:21" ht="13.5">
      <c r="B57" s="1387" t="s">
        <v>383</v>
      </c>
      <c r="C57" s="1388"/>
      <c r="D57" s="1388"/>
      <c r="E57" s="1388"/>
      <c r="F57" s="1388"/>
      <c r="G57" s="1388"/>
      <c r="H57" s="1388"/>
      <c r="I57" s="1388"/>
      <c r="J57" s="1388"/>
      <c r="K57" s="1388"/>
      <c r="L57" s="1389"/>
      <c r="N57" s="1228"/>
      <c r="O57" s="43" t="s">
        <v>258</v>
      </c>
      <c r="P57" s="522">
        <f>INT((P56+P58)/2)</f>
        <v>38557</v>
      </c>
      <c r="Q57" s="1235"/>
      <c r="R57" s="79" t="s">
        <v>258</v>
      </c>
      <c r="S57" s="156">
        <f>MIN(INT(P57*(($E$41+$F$41)/2)),ReadMe!$M$99)</f>
        <v>53979</v>
      </c>
      <c r="T57" s="1565"/>
      <c r="U57" s="1557"/>
    </row>
    <row r="58" spans="2:21" ht="14.25" thickBot="1">
      <c r="B58" s="1273" t="s">
        <v>47</v>
      </c>
      <c r="C58" s="1275"/>
      <c r="D58" s="1275"/>
      <c r="E58" s="1275"/>
      <c r="F58" s="1275"/>
      <c r="G58" s="1275"/>
      <c r="H58" s="1275"/>
      <c r="I58" s="1275"/>
      <c r="J58" s="1275"/>
      <c r="K58" s="1275"/>
      <c r="L58" s="1277"/>
      <c r="N58" s="1229"/>
      <c r="O58" s="15" t="s">
        <v>259</v>
      </c>
      <c r="P58" s="523">
        <f>MIN(INT(($T$4*Q55)*(1+$B$34+$E$34+$B$52+$K$35)*($A$25)),ReadMe!$M$99)</f>
        <v>45362</v>
      </c>
      <c r="Q58" s="1236"/>
      <c r="R58" s="86" t="s">
        <v>259</v>
      </c>
      <c r="S58" s="157">
        <f>MIN(INT(P58*$F$41),ReadMe!$M$99)</f>
        <v>68043</v>
      </c>
      <c r="T58" s="1566"/>
      <c r="U58" s="1558"/>
    </row>
    <row r="59" spans="2:21" ht="14.25" customHeight="1" thickBot="1">
      <c r="B59" s="1273" t="s">
        <v>682</v>
      </c>
      <c r="C59" s="1275"/>
      <c r="D59" s="1275"/>
      <c r="E59" s="1275"/>
      <c r="F59" s="1275"/>
      <c r="G59" s="1275"/>
      <c r="H59" s="1275"/>
      <c r="I59" s="1275"/>
      <c r="J59" s="1275"/>
      <c r="K59" s="1275"/>
      <c r="L59" s="1277"/>
      <c r="U59" s="402">
        <f>(U56/($A$25))*($A$26)</f>
        <v>41858.8</v>
      </c>
    </row>
    <row r="60" spans="2:21" ht="13.5" customHeight="1" thickBot="1">
      <c r="B60" s="1273" t="s">
        <v>1007</v>
      </c>
      <c r="C60" s="1275"/>
      <c r="D60" s="1275"/>
      <c r="E60" s="1275"/>
      <c r="F60" s="1275"/>
      <c r="G60" s="1275"/>
      <c r="H60" s="1275"/>
      <c r="I60" s="1275"/>
      <c r="J60" s="1275"/>
      <c r="K60" s="1275"/>
      <c r="L60" s="1277"/>
      <c r="N60" s="1158" t="s">
        <v>905</v>
      </c>
      <c r="O60" s="1159"/>
      <c r="P60" s="1159"/>
      <c r="Q60" s="1159"/>
      <c r="R60" s="1159"/>
      <c r="S60" s="1160"/>
      <c r="T60" s="96"/>
      <c r="U60" s="96"/>
    </row>
    <row r="61" spans="2:21" ht="14.25" customHeight="1" thickBot="1">
      <c r="B61" s="1273" t="s">
        <v>1145</v>
      </c>
      <c r="C61" s="1275"/>
      <c r="D61" s="1275"/>
      <c r="E61" s="1275"/>
      <c r="F61" s="1275"/>
      <c r="G61" s="1275"/>
      <c r="H61" s="1275"/>
      <c r="I61" s="1275"/>
      <c r="J61" s="1275"/>
      <c r="K61" s="1275"/>
      <c r="L61" s="1277"/>
      <c r="N61" s="147" t="s">
        <v>443</v>
      </c>
      <c r="O61" s="208">
        <f>D12</f>
        <v>30</v>
      </c>
      <c r="P61" s="207" t="s">
        <v>252</v>
      </c>
      <c r="Q61" s="214">
        <f>(600+5*O61)/100</f>
        <v>7.5</v>
      </c>
      <c r="R61" s="71" t="s">
        <v>267</v>
      </c>
      <c r="S61" s="72">
        <v>40</v>
      </c>
      <c r="T61" s="236"/>
      <c r="U61" s="57"/>
    </row>
    <row r="62" spans="2:21" ht="13.5">
      <c r="B62" s="1273" t="s">
        <v>208</v>
      </c>
      <c r="C62" s="1275"/>
      <c r="D62" s="1275"/>
      <c r="E62" s="1275"/>
      <c r="F62" s="1275"/>
      <c r="G62" s="1275"/>
      <c r="H62" s="1275"/>
      <c r="I62" s="1275"/>
      <c r="J62" s="1275"/>
      <c r="K62" s="1275"/>
      <c r="L62" s="1277"/>
      <c r="N62" s="1227" t="s">
        <v>304</v>
      </c>
      <c r="O62" s="76" t="s">
        <v>257</v>
      </c>
      <c r="P62" s="521">
        <f>MIN(INT(($R$4*Q61)*(1+$B$34+$E$34+$B$52+$K$35)*($A$25)),ReadMe!$M$99)</f>
        <v>59537</v>
      </c>
      <c r="Q62" s="1234" t="s">
        <v>725</v>
      </c>
      <c r="R62" s="186" t="s">
        <v>257</v>
      </c>
      <c r="S62" s="155">
        <f>MIN(INT(P62*$E$41),ReadMe!$M$99)</f>
        <v>77398</v>
      </c>
      <c r="T62" s="1564" t="s">
        <v>323</v>
      </c>
      <c r="U62" s="1556">
        <f>INT(P63*(1-$G$41)+S63*$G$41)</f>
        <v>79524</v>
      </c>
    </row>
    <row r="63" spans="2:21" ht="14.25" thickBot="1">
      <c r="B63" s="1263" t="s">
        <v>1146</v>
      </c>
      <c r="C63" s="1265"/>
      <c r="D63" s="1265"/>
      <c r="E63" s="1265"/>
      <c r="F63" s="1265"/>
      <c r="G63" s="1265"/>
      <c r="H63" s="1265"/>
      <c r="I63" s="1265"/>
      <c r="J63" s="1265"/>
      <c r="K63" s="1265"/>
      <c r="L63" s="1267"/>
      <c r="N63" s="1228"/>
      <c r="O63" s="43" t="s">
        <v>258</v>
      </c>
      <c r="P63" s="522">
        <f>INT((P62+P64)/2)</f>
        <v>72295</v>
      </c>
      <c r="Q63" s="1235"/>
      <c r="R63" s="79" t="s">
        <v>258</v>
      </c>
      <c r="S63" s="156">
        <f>MIN(INT(P63*(($E$41+$F$41)/2)),ReadMe!$M$99)</f>
        <v>101213</v>
      </c>
      <c r="T63" s="1565"/>
      <c r="U63" s="1557"/>
    </row>
    <row r="64" spans="14:21" ht="14.25" thickBot="1">
      <c r="N64" s="1229"/>
      <c r="O64" s="15" t="s">
        <v>259</v>
      </c>
      <c r="P64" s="523">
        <f>MIN(INT(($T$4*Q61)*(1+$B$34+$E$34+$B$52+$K$35)*($A$25)),ReadMe!$M$99)</f>
        <v>85054</v>
      </c>
      <c r="Q64" s="1236"/>
      <c r="R64" s="86" t="s">
        <v>259</v>
      </c>
      <c r="S64" s="157">
        <f>MIN(INT(P64*$F$41),ReadMe!$M$99)</f>
        <v>127581</v>
      </c>
      <c r="T64" s="1566"/>
      <c r="U64" s="1558"/>
    </row>
    <row r="65" spans="2:21" ht="14.25" thickBot="1">
      <c r="B65" s="1346" t="s">
        <v>16</v>
      </c>
      <c r="C65" s="1180"/>
      <c r="D65" s="1691"/>
      <c r="E65" s="1691"/>
      <c r="F65" s="1691"/>
      <c r="G65" s="1691"/>
      <c r="H65" s="1691"/>
      <c r="I65" s="1691"/>
      <c r="J65" s="1691"/>
      <c r="K65" s="1691"/>
      <c r="L65" s="1711"/>
      <c r="U65" s="402">
        <f>(U62/($A$25))*($A$26)</f>
        <v>78486.73043478261</v>
      </c>
    </row>
    <row r="66" spans="2:21" ht="14.25" thickBot="1">
      <c r="B66" s="1712" t="s">
        <v>17</v>
      </c>
      <c r="C66" s="1713"/>
      <c r="D66" s="1714"/>
      <c r="E66" s="1714"/>
      <c r="F66" s="1714"/>
      <c r="G66" s="1714"/>
      <c r="H66" s="1714"/>
      <c r="I66" s="1714"/>
      <c r="J66" s="1714"/>
      <c r="K66" s="1714"/>
      <c r="L66" s="1715"/>
      <c r="N66" s="1158" t="s">
        <v>1014</v>
      </c>
      <c r="O66" s="1159"/>
      <c r="P66" s="1159"/>
      <c r="Q66" s="1160"/>
      <c r="R66" s="96"/>
      <c r="S66" s="96"/>
      <c r="T66" s="96"/>
      <c r="U66" s="96"/>
    </row>
    <row r="67" spans="2:32" ht="14.25" thickBot="1">
      <c r="B67" s="1319" t="s">
        <v>18</v>
      </c>
      <c r="C67" s="1716"/>
      <c r="D67" s="1320"/>
      <c r="E67" s="1320"/>
      <c r="F67" s="1320"/>
      <c r="G67" s="1320"/>
      <c r="H67" s="1320"/>
      <c r="I67" s="1320"/>
      <c r="J67" s="1320"/>
      <c r="K67" s="1320"/>
      <c r="L67" s="1321"/>
      <c r="N67" s="147" t="s">
        <v>443</v>
      </c>
      <c r="O67" s="208">
        <f>D13</f>
        <v>20</v>
      </c>
      <c r="P67" s="285" t="s">
        <v>252</v>
      </c>
      <c r="Q67" s="287">
        <f>((135+4*O67)+9*D26)/100</f>
        <v>2.15</v>
      </c>
      <c r="R67" s="21"/>
      <c r="S67" s="21"/>
      <c r="T67" s="234"/>
      <c r="U67" s="57"/>
      <c r="AF67" s="21"/>
    </row>
    <row r="68" spans="2:32" ht="13.5">
      <c r="B68" s="1273" t="s">
        <v>1059</v>
      </c>
      <c r="C68" s="1274"/>
      <c r="D68" s="1275"/>
      <c r="E68" s="1275"/>
      <c r="F68" s="1275"/>
      <c r="G68" s="1275"/>
      <c r="H68" s="1275"/>
      <c r="I68" s="1275"/>
      <c r="J68" s="1275"/>
      <c r="K68" s="1275"/>
      <c r="L68" s="1277"/>
      <c r="N68" s="1227" t="s">
        <v>304</v>
      </c>
      <c r="O68" s="76" t="s">
        <v>257</v>
      </c>
      <c r="P68" s="521">
        <f>MIN(INT(($R$4*Q67)*(1+$B$34+$E$34+$B$52+$K$35)*($A$25)),ReadMe!$M$99)</f>
        <v>17067</v>
      </c>
      <c r="Q68" s="1234" t="s">
        <v>725</v>
      </c>
      <c r="R68" s="186" t="s">
        <v>257</v>
      </c>
      <c r="S68" s="155">
        <f>MIN(INT(P68*$E$41),ReadMe!$M$99)</f>
        <v>22187</v>
      </c>
      <c r="T68" s="1564" t="s">
        <v>323</v>
      </c>
      <c r="U68" s="1556">
        <f>INT(P69*(1-$G$41)+S69*$G$41)</f>
        <v>22796</v>
      </c>
      <c r="AF68" s="21"/>
    </row>
    <row r="69" spans="2:21" ht="13.5">
      <c r="B69" s="1273" t="s">
        <v>48</v>
      </c>
      <c r="C69" s="1274"/>
      <c r="D69" s="1275"/>
      <c r="E69" s="1275"/>
      <c r="F69" s="1275"/>
      <c r="G69" s="1275"/>
      <c r="H69" s="1275"/>
      <c r="I69" s="1275"/>
      <c r="J69" s="1275"/>
      <c r="K69" s="1275"/>
      <c r="L69" s="1277"/>
      <c r="N69" s="1228"/>
      <c r="O69" s="43" t="s">
        <v>258</v>
      </c>
      <c r="P69" s="522">
        <f>INT((P68+P70)/2)</f>
        <v>20724</v>
      </c>
      <c r="Q69" s="1235"/>
      <c r="R69" s="79" t="s">
        <v>258</v>
      </c>
      <c r="S69" s="156">
        <f>MIN(INT(P69*(($E$41+$F$41)/2)),ReadMe!$M$99)</f>
        <v>29013</v>
      </c>
      <c r="T69" s="1565"/>
      <c r="U69" s="1557"/>
    </row>
    <row r="70" spans="2:22" ht="14.25" thickBot="1">
      <c r="B70" s="1599" t="s">
        <v>28</v>
      </c>
      <c r="C70" s="1600"/>
      <c r="D70" s="1600"/>
      <c r="E70" s="1600"/>
      <c r="F70" s="1600"/>
      <c r="G70" s="1600"/>
      <c r="H70" s="1600"/>
      <c r="I70" s="1600"/>
      <c r="J70" s="1600"/>
      <c r="K70" s="1600"/>
      <c r="L70" s="1601"/>
      <c r="N70" s="1229"/>
      <c r="O70" s="15" t="s">
        <v>259</v>
      </c>
      <c r="P70" s="523">
        <f>MIN(INT(($T$4*Q67)*(1+$B$34+$E$34+$B$52+$K$35)*($A$25)),ReadMe!$M$99)</f>
        <v>24382</v>
      </c>
      <c r="Q70" s="1236"/>
      <c r="R70" s="86" t="s">
        <v>259</v>
      </c>
      <c r="S70" s="157">
        <f>MIN(INT(P70*$F$41),ReadMe!$M$99)</f>
        <v>36573</v>
      </c>
      <c r="T70" s="1566"/>
      <c r="U70" s="1558"/>
      <c r="V70" s="21"/>
    </row>
    <row r="71" spans="2:22" ht="13.5">
      <c r="B71" s="1599" t="s">
        <v>29</v>
      </c>
      <c r="C71" s="1600"/>
      <c r="D71" s="1600"/>
      <c r="E71" s="1600"/>
      <c r="F71" s="1600"/>
      <c r="G71" s="1600"/>
      <c r="H71" s="1600"/>
      <c r="I71" s="1600"/>
      <c r="J71" s="1600"/>
      <c r="K71" s="1600"/>
      <c r="L71" s="1601"/>
      <c r="N71" s="1456" t="s">
        <v>1060</v>
      </c>
      <c r="O71" s="1457"/>
      <c r="P71" s="608" t="s">
        <v>257</v>
      </c>
      <c r="Q71" s="695">
        <f>P68*2</f>
        <v>34134</v>
      </c>
      <c r="U71" s="402">
        <f>(Q72/($A$25))*($A$26)</f>
        <v>44997.32173913044</v>
      </c>
      <c r="V71" s="21"/>
    </row>
    <row r="72" spans="2:17" ht="13.5">
      <c r="B72" s="1319" t="s">
        <v>49</v>
      </c>
      <c r="C72" s="1716"/>
      <c r="D72" s="1320"/>
      <c r="E72" s="1320"/>
      <c r="F72" s="1320"/>
      <c r="G72" s="1320"/>
      <c r="H72" s="1320"/>
      <c r="I72" s="1320"/>
      <c r="J72" s="1320"/>
      <c r="K72" s="1320"/>
      <c r="L72" s="1321"/>
      <c r="N72" s="1456"/>
      <c r="O72" s="1457"/>
      <c r="P72" s="173" t="s">
        <v>335</v>
      </c>
      <c r="Q72" s="253">
        <f>U68*2</f>
        <v>45592</v>
      </c>
    </row>
    <row r="73" spans="2:17" ht="14.25" thickBot="1">
      <c r="B73" s="1319" t="s">
        <v>19</v>
      </c>
      <c r="C73" s="1716"/>
      <c r="D73" s="1320"/>
      <c r="E73" s="1320"/>
      <c r="F73" s="1320"/>
      <c r="G73" s="1320"/>
      <c r="H73" s="1320"/>
      <c r="I73" s="1320"/>
      <c r="J73" s="1320"/>
      <c r="K73" s="1320"/>
      <c r="L73" s="1321"/>
      <c r="N73" s="1458"/>
      <c r="O73" s="1459"/>
      <c r="P73" s="92" t="s">
        <v>329</v>
      </c>
      <c r="Q73" s="154">
        <f>S70*2</f>
        <v>73146</v>
      </c>
    </row>
    <row r="74" spans="2:12" ht="14.25" thickBot="1">
      <c r="B74" s="1717" t="s">
        <v>20</v>
      </c>
      <c r="C74" s="1718"/>
      <c r="D74" s="1719"/>
      <c r="E74" s="1719"/>
      <c r="F74" s="1719"/>
      <c r="G74" s="1719"/>
      <c r="H74" s="1719"/>
      <c r="I74" s="1719"/>
      <c r="J74" s="1719"/>
      <c r="K74" s="1719"/>
      <c r="L74" s="1720"/>
    </row>
    <row r="75" spans="14:21" ht="14.25" thickBot="1">
      <c r="N75" s="1158" t="s">
        <v>1010</v>
      </c>
      <c r="O75" s="1159"/>
      <c r="P75" s="1159"/>
      <c r="Q75" s="1159"/>
      <c r="R75" s="1159"/>
      <c r="S75" s="1160"/>
      <c r="T75" s="96"/>
      <c r="U75" s="96"/>
    </row>
    <row r="76" spans="14:21" ht="14.25" thickBot="1">
      <c r="N76" s="147" t="s">
        <v>443</v>
      </c>
      <c r="O76" s="208">
        <f>D14</f>
        <v>20</v>
      </c>
      <c r="P76" s="207" t="s">
        <v>252</v>
      </c>
      <c r="Q76" s="209">
        <f>((320+7*O76)+15*D26)/100</f>
        <v>4.6</v>
      </c>
      <c r="R76" s="1458" t="s">
        <v>1012</v>
      </c>
      <c r="S76" s="1536"/>
      <c r="T76" s="234"/>
      <c r="U76" s="57"/>
    </row>
    <row r="77" spans="14:21" ht="13.5">
      <c r="N77" s="1227" t="s">
        <v>304</v>
      </c>
      <c r="O77" s="76" t="s">
        <v>257</v>
      </c>
      <c r="P77" s="521">
        <f>MIN(INT(($R$4*Q76)*(1+$B$34+$E$34+$B$52+$K$35)*($A$25)),ReadMe!$M$99)</f>
        <v>36516</v>
      </c>
      <c r="Q77" s="1234" t="s">
        <v>725</v>
      </c>
      <c r="R77" s="186" t="s">
        <v>257</v>
      </c>
      <c r="S77" s="155">
        <f>MIN(INT(P77*$E$41),ReadMe!$M$99)</f>
        <v>47470</v>
      </c>
      <c r="T77" s="1564" t="s">
        <v>323</v>
      </c>
      <c r="U77" s="1556">
        <f>INT(P78*(1-$G$41)+S78*$G$41)</f>
        <v>48775</v>
      </c>
    </row>
    <row r="78" spans="14:21" ht="13.5">
      <c r="N78" s="1228"/>
      <c r="O78" s="43" t="s">
        <v>258</v>
      </c>
      <c r="P78" s="522">
        <f>INT((P77+P79)/2)</f>
        <v>44341</v>
      </c>
      <c r="Q78" s="1235"/>
      <c r="R78" s="79" t="s">
        <v>258</v>
      </c>
      <c r="S78" s="156">
        <f>MIN(INT(P78*(($E$41+$F$41)/2)),ReadMe!$M$99)</f>
        <v>62077</v>
      </c>
      <c r="T78" s="1565"/>
      <c r="U78" s="1557"/>
    </row>
    <row r="79" spans="14:21" ht="14.25" thickBot="1">
      <c r="N79" s="1229"/>
      <c r="O79" s="15" t="s">
        <v>259</v>
      </c>
      <c r="P79" s="523">
        <f>MIN(INT(($T$4*Q76)*(1+$B$34+$E$34+$B$52+$K$35)*($A$25)),ReadMe!$M$99)</f>
        <v>52166</v>
      </c>
      <c r="Q79" s="1236"/>
      <c r="R79" s="86" t="s">
        <v>259</v>
      </c>
      <c r="S79" s="157">
        <f>MIN(INT(P79*$F$41),ReadMe!$M$99)</f>
        <v>78249</v>
      </c>
      <c r="T79" s="1566"/>
      <c r="U79" s="1558"/>
    </row>
    <row r="80" ht="14.25" thickBot="1">
      <c r="U80" s="402">
        <f>(U77/($A$25))*($A$26)</f>
        <v>48138.80434782609</v>
      </c>
    </row>
    <row r="81" spans="14:21" ht="14.25" thickBot="1">
      <c r="N81" s="1158" t="s">
        <v>1008</v>
      </c>
      <c r="O81" s="1159"/>
      <c r="P81" s="1159"/>
      <c r="Q81" s="1160"/>
      <c r="R81" s="96"/>
      <c r="S81" s="96"/>
      <c r="T81" s="96"/>
      <c r="U81" s="96"/>
    </row>
    <row r="82" spans="14:21" ht="14.25" thickBot="1">
      <c r="N82" s="147" t="s">
        <v>443</v>
      </c>
      <c r="O82" s="208">
        <f>D15</f>
        <v>20</v>
      </c>
      <c r="P82" s="285" t="s">
        <v>252</v>
      </c>
      <c r="Q82" s="287">
        <f>((190+6*O82)+12*D26)/100</f>
        <v>3.1</v>
      </c>
      <c r="R82" s="21"/>
      <c r="S82" s="21"/>
      <c r="T82" s="234"/>
      <c r="U82" s="57"/>
    </row>
    <row r="83" spans="14:21" ht="13.5">
      <c r="N83" s="1227" t="s">
        <v>304</v>
      </c>
      <c r="O83" s="76" t="s">
        <v>257</v>
      </c>
      <c r="P83" s="521">
        <f>MIN(INT(($R$4*Q82)*(1+$B$34+$E$34+$B$52+$K$35)*($A$25)),ReadMe!$M$99)</f>
        <v>24608</v>
      </c>
      <c r="Q83" s="1234" t="s">
        <v>725</v>
      </c>
      <c r="R83" s="186" t="s">
        <v>257</v>
      </c>
      <c r="S83" s="155">
        <f>MIN(INT(P83*$E$41),ReadMe!$M$99)</f>
        <v>31990</v>
      </c>
      <c r="T83" s="1564" t="s">
        <v>323</v>
      </c>
      <c r="U83" s="1556">
        <f>INT(P84*(1-$G$41)+S84*$G$41)</f>
        <v>32869</v>
      </c>
    </row>
    <row r="84" spans="14:21" ht="13.5">
      <c r="N84" s="1228"/>
      <c r="O84" s="43" t="s">
        <v>258</v>
      </c>
      <c r="P84" s="522">
        <f>INT((P83+P85)/2)</f>
        <v>29881</v>
      </c>
      <c r="Q84" s="1235"/>
      <c r="R84" s="79" t="s">
        <v>258</v>
      </c>
      <c r="S84" s="156">
        <f>MIN(INT(P84*(($E$41+$F$41)/2)),ReadMe!$M$99)</f>
        <v>41833</v>
      </c>
      <c r="T84" s="1565"/>
      <c r="U84" s="1557"/>
    </row>
    <row r="85" spans="14:21" ht="14.25" thickBot="1">
      <c r="N85" s="1229"/>
      <c r="O85" s="15" t="s">
        <v>259</v>
      </c>
      <c r="P85" s="523">
        <f>MIN(INT(($T$4*Q82)*(1+$B$34+$E$34+$B$52+$K$35)*($A$25)),ReadMe!$M$99)</f>
        <v>35155</v>
      </c>
      <c r="Q85" s="1236"/>
      <c r="R85" s="86" t="s">
        <v>259</v>
      </c>
      <c r="S85" s="157">
        <f>MIN(INT(P85*$F$41),ReadMe!$M$99)</f>
        <v>52732</v>
      </c>
      <c r="T85" s="1566"/>
      <c r="U85" s="1558"/>
    </row>
    <row r="86" ht="14.25" thickBot="1">
      <c r="U86" s="402">
        <f>(U83/($A$25))*($A$26)</f>
        <v>32440.27391304348</v>
      </c>
    </row>
    <row r="87" spans="14:21" ht="14.25" thickBot="1">
      <c r="N87" s="1158" t="s">
        <v>1355</v>
      </c>
      <c r="O87" s="1159"/>
      <c r="P87" s="1159"/>
      <c r="Q87" s="1160"/>
      <c r="R87" s="96"/>
      <c r="S87" s="96"/>
      <c r="T87" s="96"/>
      <c r="U87" s="96"/>
    </row>
    <row r="88" spans="14:21" ht="14.25" thickBot="1">
      <c r="N88" s="147" t="s">
        <v>443</v>
      </c>
      <c r="O88" s="208">
        <f>D16</f>
        <v>20</v>
      </c>
      <c r="P88" s="285" t="s">
        <v>252</v>
      </c>
      <c r="Q88" s="287">
        <f>(160+5*O88)/100</f>
        <v>2.6</v>
      </c>
      <c r="R88" s="21"/>
      <c r="S88" s="21"/>
      <c r="T88" s="234"/>
      <c r="U88" s="57"/>
    </row>
    <row r="89" spans="14:21" ht="13.5">
      <c r="N89" s="1227" t="s">
        <v>304</v>
      </c>
      <c r="O89" s="76" t="s">
        <v>257</v>
      </c>
      <c r="P89" s="521">
        <f>MIN(INT(($R$4*Q88)*(1+$B$34+$E$34+$B$52+$K$35)*($A$25)),ReadMe!$M$99)</f>
        <v>20639</v>
      </c>
      <c r="Q89" s="1234" t="s">
        <v>725</v>
      </c>
      <c r="R89" s="186" t="s">
        <v>257</v>
      </c>
      <c r="S89" s="155">
        <f>MIN(INT(P89*$E$41),ReadMe!$M$99)</f>
        <v>26830</v>
      </c>
      <c r="T89" s="1564" t="s">
        <v>323</v>
      </c>
      <c r="U89" s="1556">
        <f>INT(P90*(1-$G$41)+S90*$G$41)</f>
        <v>27568</v>
      </c>
    </row>
    <row r="90" spans="14:21" ht="13.5">
      <c r="N90" s="1228"/>
      <c r="O90" s="43" t="s">
        <v>258</v>
      </c>
      <c r="P90" s="522">
        <f>INT((P89+P91)/2)</f>
        <v>25062</v>
      </c>
      <c r="Q90" s="1235"/>
      <c r="R90" s="79" t="s">
        <v>258</v>
      </c>
      <c r="S90" s="156">
        <f>MIN(INT(P90*(($E$41+$F$41)/2)),ReadMe!$M$99)</f>
        <v>35086</v>
      </c>
      <c r="T90" s="1565"/>
      <c r="U90" s="1557"/>
    </row>
    <row r="91" spans="14:21" ht="14.25" thickBot="1">
      <c r="N91" s="1229"/>
      <c r="O91" s="15" t="s">
        <v>259</v>
      </c>
      <c r="P91" s="523">
        <f>MIN(INT(($T$4*Q88)*(1+$B$34+$E$34+$B$52+$K$35)*($A$25)),ReadMe!$M$99)</f>
        <v>29485</v>
      </c>
      <c r="Q91" s="1236"/>
      <c r="R91" s="86" t="s">
        <v>259</v>
      </c>
      <c r="S91" s="157">
        <f>MIN(INT(P91*$F$41),ReadMe!$M$99)</f>
        <v>44227</v>
      </c>
      <c r="T91" s="1566"/>
      <c r="U91" s="1558"/>
    </row>
    <row r="92" ht="14.25" thickBot="1">
      <c r="U92" s="402">
        <f>(U89/($A$25))*($A$26)</f>
        <v>27208.41739130435</v>
      </c>
    </row>
    <row r="93" spans="14:21" ht="14.25" thickBot="1">
      <c r="N93" s="1237" t="s">
        <v>1295</v>
      </c>
      <c r="O93" s="1238"/>
      <c r="P93" s="1238"/>
      <c r="Q93" s="1238"/>
      <c r="R93" s="1238"/>
      <c r="S93" s="1238"/>
      <c r="T93" s="1239"/>
      <c r="U93" s="96"/>
    </row>
    <row r="94" spans="14:21" ht="14.25" thickBot="1">
      <c r="N94" s="179" t="s">
        <v>252</v>
      </c>
      <c r="O94" s="466">
        <v>1</v>
      </c>
      <c r="P94" s="89" t="s">
        <v>310</v>
      </c>
      <c r="Q94" s="463">
        <v>0.6</v>
      </c>
      <c r="R94" s="1305" t="s">
        <v>1296</v>
      </c>
      <c r="S94" s="1306"/>
      <c r="T94" s="467">
        <v>20</v>
      </c>
      <c r="U94" s="57"/>
    </row>
    <row r="95" spans="14:21" ht="13.5">
      <c r="N95" s="1227" t="s">
        <v>304</v>
      </c>
      <c r="O95" s="76" t="s">
        <v>257</v>
      </c>
      <c r="P95" s="521">
        <f>MIN(INT(($R$4*Q94)*(1+$B$34+$E$34+$B$52+$K$35)*(IF($A$19="true",$P$8,0)+$A$25)),ReadMe!$M$99)</f>
        <v>4763</v>
      </c>
      <c r="Q95" s="1234" t="s">
        <v>725</v>
      </c>
      <c r="R95" s="186" t="s">
        <v>257</v>
      </c>
      <c r="S95" s="155">
        <f>MIN(INT(P95*$E$41),ReadMe!$M$99)</f>
        <v>6191</v>
      </c>
      <c r="T95" s="1564" t="s">
        <v>323</v>
      </c>
      <c r="U95" s="1556">
        <f>INT(P96*(1-$G$41)+S96*$G$41)</f>
        <v>6361</v>
      </c>
    </row>
    <row r="96" spans="14:21" ht="13.5">
      <c r="N96" s="1228"/>
      <c r="O96" s="43" t="s">
        <v>258</v>
      </c>
      <c r="P96" s="522">
        <f>INT((P95+P97)/2)</f>
        <v>5783</v>
      </c>
      <c r="Q96" s="1235"/>
      <c r="R96" s="79" t="s">
        <v>258</v>
      </c>
      <c r="S96" s="156">
        <f>MIN(INT(P96*(($E$41+$F$41)/2)),ReadMe!$M$99)</f>
        <v>8096</v>
      </c>
      <c r="T96" s="1565"/>
      <c r="U96" s="1557"/>
    </row>
    <row r="97" spans="14:21" ht="14.25" thickBot="1">
      <c r="N97" s="1229"/>
      <c r="O97" s="15" t="s">
        <v>259</v>
      </c>
      <c r="P97" s="523">
        <f>MIN(INT(($T$4*Q94)*(1+$B$34+$E$34+$B$52+$K$35)*(IF($A$19="true",$P$8,0)+$A$25)),ReadMe!$M$99)</f>
        <v>6804</v>
      </c>
      <c r="Q97" s="1236"/>
      <c r="R97" s="86" t="s">
        <v>259</v>
      </c>
      <c r="S97" s="157">
        <f>MIN(INT(P97*$F$41),ReadMe!$M$99)</f>
        <v>10206</v>
      </c>
      <c r="T97" s="1566"/>
      <c r="U97" s="1558"/>
    </row>
    <row r="116" spans="20:21" ht="13.5">
      <c r="T116" s="237"/>
      <c r="U116" s="57"/>
    </row>
    <row r="151" spans="23:24" ht="13.5">
      <c r="W151" s="59"/>
      <c r="X151" s="297"/>
    </row>
    <row r="155" spans="29:30" ht="13.5">
      <c r="AC155" s="298"/>
      <c r="AD155" s="298"/>
    </row>
    <row r="188" spans="23:25" ht="13.5">
      <c r="W188" s="59"/>
      <c r="X188" s="59"/>
      <c r="Y188" s="59"/>
    </row>
    <row r="192" spans="26:30" ht="13.5">
      <c r="Z192" s="58"/>
      <c r="AA192" s="58"/>
      <c r="AB192" s="58"/>
      <c r="AC192" s="235"/>
      <c r="AD192" s="57"/>
    </row>
    <row r="198" spans="29:30" ht="13.5">
      <c r="AC198" s="236"/>
      <c r="AD198" s="57"/>
    </row>
  </sheetData>
  <sheetProtection/>
  <protectedRanges>
    <protectedRange sqref="D45:D46 D48" name="範囲1_1_1"/>
  </protectedRanges>
  <mergeCells count="153">
    <mergeCell ref="B62:L62"/>
    <mergeCell ref="B57:L57"/>
    <mergeCell ref="B55:L55"/>
    <mergeCell ref="B56:L56"/>
    <mergeCell ref="B58:L58"/>
    <mergeCell ref="B61:L61"/>
    <mergeCell ref="B59:L59"/>
    <mergeCell ref="B2:C2"/>
    <mergeCell ref="B27:C27"/>
    <mergeCell ref="I45:K45"/>
    <mergeCell ref="B42:D42"/>
    <mergeCell ref="B39:C39"/>
    <mergeCell ref="B40:D40"/>
    <mergeCell ref="B41:D41"/>
    <mergeCell ref="E42:G42"/>
    <mergeCell ref="B45:C45"/>
    <mergeCell ref="E45:F45"/>
    <mergeCell ref="AD7:AE7"/>
    <mergeCell ref="AD8:AE8"/>
    <mergeCell ref="W2:AE3"/>
    <mergeCell ref="AD5:AE5"/>
    <mergeCell ref="AD6:AE6"/>
    <mergeCell ref="W26:AD26"/>
    <mergeCell ref="U44:U46"/>
    <mergeCell ref="T12:T14"/>
    <mergeCell ref="Q44:Q46"/>
    <mergeCell ref="T44:T46"/>
    <mergeCell ref="N36:S36"/>
    <mergeCell ref="Q38:Q40"/>
    <mergeCell ref="T38:T40"/>
    <mergeCell ref="N34:Q34"/>
    <mergeCell ref="R34:U34"/>
    <mergeCell ref="T31:T33"/>
    <mergeCell ref="N81:Q81"/>
    <mergeCell ref="U38:U40"/>
    <mergeCell ref="T56:T58"/>
    <mergeCell ref="U56:U58"/>
    <mergeCell ref="Q56:Q58"/>
    <mergeCell ref="Q62:Q64"/>
    <mergeCell ref="T62:T64"/>
    <mergeCell ref="N77:N79"/>
    <mergeCell ref="Q77:Q79"/>
    <mergeCell ref="N75:S75"/>
    <mergeCell ref="N71:O73"/>
    <mergeCell ref="R76:S76"/>
    <mergeCell ref="W27:X27"/>
    <mergeCell ref="W29:X29"/>
    <mergeCell ref="W33:X33"/>
    <mergeCell ref="W28:X28"/>
    <mergeCell ref="W31:X31"/>
    <mergeCell ref="W30:X30"/>
    <mergeCell ref="W32:X32"/>
    <mergeCell ref="I49:K49"/>
    <mergeCell ref="I52:J52"/>
    <mergeCell ref="I51:J51"/>
    <mergeCell ref="B46:C46"/>
    <mergeCell ref="E46:F46"/>
    <mergeCell ref="E34:F34"/>
    <mergeCell ref="I37:K37"/>
    <mergeCell ref="I38:K38"/>
    <mergeCell ref="B36:D36"/>
    <mergeCell ref="B34:D34"/>
    <mergeCell ref="B37:D37"/>
    <mergeCell ref="B38:C38"/>
    <mergeCell ref="I34:K34"/>
    <mergeCell ref="E33:F33"/>
    <mergeCell ref="F1:P1"/>
    <mergeCell ref="R2:T2"/>
    <mergeCell ref="N2:P2"/>
    <mergeCell ref="N22:N24"/>
    <mergeCell ref="B30:K30"/>
    <mergeCell ref="B31:D31"/>
    <mergeCell ref="Q22:Q24"/>
    <mergeCell ref="Q31:Q33"/>
    <mergeCell ref="N25:O27"/>
    <mergeCell ref="Q95:Q97"/>
    <mergeCell ref="T95:T97"/>
    <mergeCell ref="E31:F31"/>
    <mergeCell ref="B32:D32"/>
    <mergeCell ref="E32:F32"/>
    <mergeCell ref="N95:N97"/>
    <mergeCell ref="N38:N40"/>
    <mergeCell ref="N62:N64"/>
    <mergeCell ref="N42:S42"/>
    <mergeCell ref="N44:N46"/>
    <mergeCell ref="R94:S94"/>
    <mergeCell ref="N93:T93"/>
    <mergeCell ref="N56:N58"/>
    <mergeCell ref="N66:Q66"/>
    <mergeCell ref="N89:N91"/>
    <mergeCell ref="N83:N85"/>
    <mergeCell ref="N87:Q87"/>
    <mergeCell ref="Q83:Q85"/>
    <mergeCell ref="Q89:Q91"/>
    <mergeCell ref="T83:T85"/>
    <mergeCell ref="B68:L68"/>
    <mergeCell ref="B67:L67"/>
    <mergeCell ref="B70:L70"/>
    <mergeCell ref="B74:L74"/>
    <mergeCell ref="B73:L73"/>
    <mergeCell ref="B69:L69"/>
    <mergeCell ref="B72:L72"/>
    <mergeCell ref="B71:L71"/>
    <mergeCell ref="B65:L65"/>
    <mergeCell ref="B66:L66"/>
    <mergeCell ref="E47:F47"/>
    <mergeCell ref="E48:F48"/>
    <mergeCell ref="B50:D50"/>
    <mergeCell ref="B51:D51"/>
    <mergeCell ref="B52:D52"/>
    <mergeCell ref="B47:C47"/>
    <mergeCell ref="B60:L60"/>
    <mergeCell ref="B63:L63"/>
    <mergeCell ref="U62:U64"/>
    <mergeCell ref="N60:S60"/>
    <mergeCell ref="T89:T91"/>
    <mergeCell ref="U89:U91"/>
    <mergeCell ref="T68:T70"/>
    <mergeCell ref="U68:U70"/>
    <mergeCell ref="T77:T79"/>
    <mergeCell ref="U77:U79"/>
    <mergeCell ref="N68:N70"/>
    <mergeCell ref="Q68:Q70"/>
    <mergeCell ref="B33:D33"/>
    <mergeCell ref="U95:U97"/>
    <mergeCell ref="T15:U17"/>
    <mergeCell ref="R16:S16"/>
    <mergeCell ref="R17:S17"/>
    <mergeCell ref="U83:U85"/>
    <mergeCell ref="T50:T52"/>
    <mergeCell ref="U50:U52"/>
    <mergeCell ref="N20:S20"/>
    <mergeCell ref="U31:U33"/>
    <mergeCell ref="N10:U10"/>
    <mergeCell ref="N15:O17"/>
    <mergeCell ref="Q12:Q14"/>
    <mergeCell ref="N31:N33"/>
    <mergeCell ref="U22:U24"/>
    <mergeCell ref="N29:U29"/>
    <mergeCell ref="T22:T24"/>
    <mergeCell ref="T18:U18"/>
    <mergeCell ref="U12:U14"/>
    <mergeCell ref="N12:N14"/>
    <mergeCell ref="N54:S54"/>
    <mergeCell ref="N50:N52"/>
    <mergeCell ref="N6:R6"/>
    <mergeCell ref="I41:J41"/>
    <mergeCell ref="I43:J43"/>
    <mergeCell ref="Q50:Q52"/>
    <mergeCell ref="N48:Q48"/>
    <mergeCell ref="I50:J50"/>
    <mergeCell ref="B54:L54"/>
    <mergeCell ref="B48:C48"/>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3.xml><?xml version="1.0" encoding="utf-8"?>
<worksheet xmlns="http://schemas.openxmlformats.org/spreadsheetml/2006/main" xmlns:r="http://schemas.openxmlformats.org/officeDocument/2006/relationships">
  <dimension ref="A1:AC82"/>
  <sheetViews>
    <sheetView workbookViewId="0" topLeftCell="A1">
      <selection activeCell="I19" sqref="I19"/>
    </sheetView>
  </sheetViews>
  <sheetFormatPr defaultColWidth="9.00390625" defaultRowHeight="13.5"/>
  <cols>
    <col min="1" max="1" width="2.625" style="0" customWidth="1"/>
    <col min="2" max="11" width="5.625" style="0" customWidth="1"/>
    <col min="12" max="13" width="2.625" style="0" customWidth="1"/>
    <col min="21" max="21" width="1.625" style="0" customWidth="1"/>
    <col min="23" max="23" width="9.50390625" style="0" bestFit="1" customWidth="1"/>
    <col min="24" max="24" width="1.625" style="0" customWidth="1"/>
    <col min="27" max="27" width="1.625" style="0" customWidth="1"/>
  </cols>
  <sheetData>
    <row r="1" spans="6:16" ht="24.75" thickBot="1">
      <c r="F1" s="1223" t="s">
        <v>848</v>
      </c>
      <c r="G1" s="1223"/>
      <c r="H1" s="1223"/>
      <c r="I1" s="1223"/>
      <c r="J1" s="1223"/>
      <c r="K1" s="1223"/>
      <c r="L1" s="1223"/>
      <c r="M1" s="1223"/>
      <c r="N1" s="1223"/>
      <c r="O1" s="1223"/>
      <c r="P1" s="1223"/>
    </row>
    <row r="2" spans="2:21" ht="14.25" thickBot="1">
      <c r="B2" s="1153" t="s">
        <v>238</v>
      </c>
      <c r="C2" s="1154"/>
      <c r="D2" s="137">
        <v>150</v>
      </c>
      <c r="E2" s="37"/>
      <c r="F2" s="3" t="s">
        <v>325</v>
      </c>
      <c r="G2" s="3" t="s">
        <v>817</v>
      </c>
      <c r="H2" s="3" t="s">
        <v>818</v>
      </c>
      <c r="I2" s="3" t="s">
        <v>847</v>
      </c>
      <c r="J2" s="3" t="s">
        <v>846</v>
      </c>
      <c r="K2" s="25" t="s">
        <v>749</v>
      </c>
      <c r="N2" s="1224" t="s">
        <v>301</v>
      </c>
      <c r="O2" s="1225"/>
      <c r="P2" s="1226"/>
      <c r="R2" s="1224" t="s">
        <v>737</v>
      </c>
      <c r="S2" s="1225"/>
      <c r="T2" s="1226"/>
      <c r="U2" s="67"/>
    </row>
    <row r="3" spans="2:21" ht="14.25" thickBot="1">
      <c r="B3" s="14" t="s">
        <v>241</v>
      </c>
      <c r="C3" s="538"/>
      <c r="D3" s="16">
        <f>((D2-1)*5+IF(D2&gt;=120,35,IF(D2&gt;=70,30,25)))-(G3+H3+J3+I3)</f>
        <v>0</v>
      </c>
      <c r="E3" s="42" t="s">
        <v>242</v>
      </c>
      <c r="F3" s="8"/>
      <c r="G3" s="8">
        <v>48</v>
      </c>
      <c r="H3" s="8">
        <v>724</v>
      </c>
      <c r="I3" s="8">
        <v>4</v>
      </c>
      <c r="J3" s="8">
        <v>4</v>
      </c>
      <c r="K3" s="9"/>
      <c r="N3" s="10" t="s">
        <v>270</v>
      </c>
      <c r="O3" s="11" t="s">
        <v>271</v>
      </c>
      <c r="P3" s="12" t="s">
        <v>272</v>
      </c>
      <c r="R3" s="70" t="s">
        <v>270</v>
      </c>
      <c r="S3" s="71" t="s">
        <v>271</v>
      </c>
      <c r="T3" s="72" t="s">
        <v>272</v>
      </c>
      <c r="U3" s="21"/>
    </row>
    <row r="4" spans="2:20" ht="14.25" thickBot="1">
      <c r="B4" s="1456" t="s">
        <v>862</v>
      </c>
      <c r="C4" s="1457"/>
      <c r="D4" s="1457"/>
      <c r="E4" s="7" t="s">
        <v>243</v>
      </c>
      <c r="F4" s="8">
        <v>100</v>
      </c>
      <c r="G4" s="8"/>
      <c r="H4" s="8">
        <v>7</v>
      </c>
      <c r="I4" s="8"/>
      <c r="J4" s="8"/>
      <c r="K4" s="9"/>
      <c r="N4" s="14">
        <f>P4*0.65</f>
        <v>6782.490000000001</v>
      </c>
      <c r="O4" s="15">
        <f>(P4+N4)/2</f>
        <v>8608.545</v>
      </c>
      <c r="P4" s="16">
        <f>$Q$4*($F$29+INT(($F$29*(IF($T$8="true",$P$8,0)+$E$32+$K$52+$K$43-1))))/100</f>
        <v>10434.6</v>
      </c>
      <c r="Q4" s="402">
        <f>1.5*(4*$H$29+$G$29)</f>
        <v>5610</v>
      </c>
      <c r="R4" s="14">
        <f>N4*$G$48*(1-$G$45/100)</f>
        <v>5086.8675</v>
      </c>
      <c r="S4" s="15">
        <f>O4*$G$48*(1-$G$45/100)</f>
        <v>6456.4087500000005</v>
      </c>
      <c r="T4" s="16">
        <f>P4*$G$48*(1-$G$45/100)</f>
        <v>7825.950000000001</v>
      </c>
    </row>
    <row r="5" spans="2:16" ht="14.25" thickBot="1">
      <c r="B5" s="163" t="s">
        <v>244</v>
      </c>
      <c r="C5" s="397"/>
      <c r="D5" s="164">
        <v>5</v>
      </c>
      <c r="E5" s="7" t="s">
        <v>245</v>
      </c>
      <c r="F5" s="8"/>
      <c r="G5" s="8"/>
      <c r="H5" s="8"/>
      <c r="I5" s="8"/>
      <c r="J5" s="8"/>
      <c r="K5" s="9"/>
      <c r="O5" s="323"/>
      <c r="P5" s="402">
        <f>$Q$4*(($F$29-D26)+INT(($F$29-D26-$F$25)*$E$32)+INT(($F$29-D26)*($K$52-1)))/100</f>
        <v>9424.8</v>
      </c>
    </row>
    <row r="6" spans="2:19" ht="14.25" thickBot="1">
      <c r="B6" s="475" t="s">
        <v>858</v>
      </c>
      <c r="C6" s="545"/>
      <c r="D6" s="137">
        <v>30</v>
      </c>
      <c r="E6" s="42" t="s">
        <v>246</v>
      </c>
      <c r="F6" s="8"/>
      <c r="G6" s="8">
        <v>10</v>
      </c>
      <c r="H6" s="8">
        <v>20</v>
      </c>
      <c r="I6" s="8">
        <v>10</v>
      </c>
      <c r="J6" s="8">
        <v>10</v>
      </c>
      <c r="K6" s="9">
        <v>10</v>
      </c>
      <c r="N6" s="1405" t="s">
        <v>1055</v>
      </c>
      <c r="O6" s="1376"/>
      <c r="P6" s="1376"/>
      <c r="Q6" s="1376"/>
      <c r="R6" s="1406"/>
      <c r="S6" s="460"/>
    </row>
    <row r="7" spans="2:20" ht="13.5">
      <c r="B7" s="7" t="s">
        <v>859</v>
      </c>
      <c r="C7" s="549"/>
      <c r="D7" s="9">
        <v>30</v>
      </c>
      <c r="E7" s="42" t="s">
        <v>247</v>
      </c>
      <c r="F7" s="8">
        <v>5</v>
      </c>
      <c r="G7" s="8"/>
      <c r="H7" s="8"/>
      <c r="I7" s="8"/>
      <c r="J7" s="8"/>
      <c r="K7" s="9"/>
      <c r="N7" s="1" t="s">
        <v>1053</v>
      </c>
      <c r="O7" s="3"/>
      <c r="P7" s="583">
        <v>0.15</v>
      </c>
      <c r="Q7" s="688" t="s">
        <v>1054</v>
      </c>
      <c r="R7" s="696"/>
      <c r="S7" s="460" t="b">
        <v>0</v>
      </c>
      <c r="T7" s="460" t="str">
        <f>IF(S7=TRUE,"TRUE",IF(R7=1,"TRUE","FLASE"))</f>
        <v>FLASE</v>
      </c>
    </row>
    <row r="8" spans="2:20" ht="13.5" customHeight="1" thickBot="1">
      <c r="B8" s="227" t="s">
        <v>857</v>
      </c>
      <c r="C8" s="565"/>
      <c r="D8" s="204">
        <v>30</v>
      </c>
      <c r="E8" s="42" t="s">
        <v>248</v>
      </c>
      <c r="F8" s="8">
        <v>2</v>
      </c>
      <c r="G8" s="8"/>
      <c r="H8" s="8">
        <v>2</v>
      </c>
      <c r="I8" s="8"/>
      <c r="J8" s="8"/>
      <c r="K8" s="9">
        <v>7</v>
      </c>
      <c r="N8" s="53" t="s">
        <v>1052</v>
      </c>
      <c r="O8" s="15"/>
      <c r="P8" s="697">
        <v>0.2</v>
      </c>
      <c r="Q8" s="700" t="s">
        <v>1054</v>
      </c>
      <c r="R8" s="501"/>
      <c r="S8" s="460" t="b">
        <v>0</v>
      </c>
      <c r="T8" s="460" t="str">
        <f>IF(S8=TRUE,"TRUE",IF(R8=1,"TRUE","FLASE"))</f>
        <v>FLASE</v>
      </c>
    </row>
    <row r="9" spans="2:11" ht="14.25" thickBot="1">
      <c r="B9" s="216" t="s">
        <v>860</v>
      </c>
      <c r="C9" s="566"/>
      <c r="D9" s="9">
        <v>1</v>
      </c>
      <c r="E9" s="42" t="s">
        <v>249</v>
      </c>
      <c r="F9" s="8"/>
      <c r="G9" s="8">
        <v>7</v>
      </c>
      <c r="H9" s="8">
        <v>7</v>
      </c>
      <c r="I9" s="8">
        <v>7</v>
      </c>
      <c r="J9" s="8">
        <v>7</v>
      </c>
      <c r="K9" s="9"/>
    </row>
    <row r="10" spans="2:20" ht="14.25" thickBot="1">
      <c r="B10" s="217" t="s">
        <v>861</v>
      </c>
      <c r="C10" s="561"/>
      <c r="D10" s="9">
        <v>1</v>
      </c>
      <c r="E10" s="42" t="s">
        <v>250</v>
      </c>
      <c r="F10" s="8"/>
      <c r="G10" s="8"/>
      <c r="H10" s="8">
        <v>10</v>
      </c>
      <c r="I10" s="8"/>
      <c r="J10" s="8"/>
      <c r="K10" s="9"/>
      <c r="O10" s="1158" t="s">
        <v>1361</v>
      </c>
      <c r="P10" s="1159"/>
      <c r="Q10" s="1159"/>
      <c r="R10" s="1159"/>
      <c r="S10" s="17" t="s">
        <v>65</v>
      </c>
      <c r="T10" s="75">
        <f>(5+ROUNDUP(P11/2,0))/100</f>
        <v>0.2</v>
      </c>
    </row>
    <row r="11" spans="2:20" ht="14.25" thickBot="1">
      <c r="B11" s="216" t="s">
        <v>870</v>
      </c>
      <c r="C11" s="701"/>
      <c r="D11" s="9">
        <v>15</v>
      </c>
      <c r="E11" s="42" t="s">
        <v>698</v>
      </c>
      <c r="F11" s="8"/>
      <c r="G11" s="8">
        <v>25</v>
      </c>
      <c r="H11" s="8">
        <v>5</v>
      </c>
      <c r="I11" s="8"/>
      <c r="J11" s="8"/>
      <c r="K11" s="9">
        <v>11</v>
      </c>
      <c r="O11" s="147" t="s">
        <v>238</v>
      </c>
      <c r="P11" s="208">
        <f>D6</f>
        <v>30</v>
      </c>
      <c r="Q11" s="207" t="s">
        <v>252</v>
      </c>
      <c r="R11" s="214">
        <f>(210+3*P11)/100</f>
        <v>3</v>
      </c>
      <c r="S11" s="51" t="s">
        <v>267</v>
      </c>
      <c r="T11" s="73">
        <f>IF($D$5-$K$38&lt;=4,100,95)</f>
        <v>95</v>
      </c>
    </row>
    <row r="12" spans="2:20" ht="13.5">
      <c r="B12" s="216" t="s">
        <v>1061</v>
      </c>
      <c r="C12" s="43"/>
      <c r="D12" s="9">
        <v>30</v>
      </c>
      <c r="E12" s="42" t="s">
        <v>587</v>
      </c>
      <c r="F12" s="8"/>
      <c r="G12" s="8"/>
      <c r="H12" s="8"/>
      <c r="I12" s="8"/>
      <c r="J12" s="8"/>
      <c r="K12" s="9"/>
      <c r="O12" s="1227" t="s">
        <v>304</v>
      </c>
      <c r="P12" s="76" t="s">
        <v>257</v>
      </c>
      <c r="Q12" s="521">
        <f>MIN(INT(($R$4*R11)*($A$26+$K$35+$B$34+$E$34+$B$52)*(1+$A$18)),ReadMe!$M$99)</f>
        <v>21059</v>
      </c>
      <c r="R12" s="1234" t="s">
        <v>1358</v>
      </c>
      <c r="S12" s="649" t="s">
        <v>257</v>
      </c>
      <c r="T12" s="613">
        <f>MIN(INT(Q12*$E$41),ReadMe!$M$99)</f>
        <v>27376</v>
      </c>
    </row>
    <row r="13" spans="2:20" ht="14.25" thickBot="1">
      <c r="B13" s="626" t="s">
        <v>1062</v>
      </c>
      <c r="C13" s="15"/>
      <c r="D13" s="228">
        <v>20</v>
      </c>
      <c r="E13" s="42" t="s">
        <v>697</v>
      </c>
      <c r="F13" s="8"/>
      <c r="G13" s="8"/>
      <c r="H13" s="8"/>
      <c r="I13" s="8"/>
      <c r="J13" s="8"/>
      <c r="K13" s="9"/>
      <c r="O13" s="1228"/>
      <c r="P13" s="43" t="s">
        <v>258</v>
      </c>
      <c r="Q13" s="522">
        <f>INT((Q12+Q14)/2)</f>
        <v>26729</v>
      </c>
      <c r="R13" s="1235"/>
      <c r="S13" s="79" t="s">
        <v>258</v>
      </c>
      <c r="T13" s="156">
        <f>MIN(INT(Q13*(($E$41+$F$41)/2)),ReadMe!$M$99)</f>
        <v>37420</v>
      </c>
    </row>
    <row r="14" spans="2:20" ht="14.25" thickBot="1">
      <c r="B14" s="225" t="s">
        <v>875</v>
      </c>
      <c r="C14" s="567"/>
      <c r="D14" s="1767">
        <v>20</v>
      </c>
      <c r="E14" s="42" t="s">
        <v>260</v>
      </c>
      <c r="F14" s="8"/>
      <c r="G14" s="8">
        <v>10</v>
      </c>
      <c r="H14" s="8">
        <v>10</v>
      </c>
      <c r="I14" s="8"/>
      <c r="J14" s="8"/>
      <c r="K14" s="9">
        <v>1</v>
      </c>
      <c r="O14" s="1229"/>
      <c r="P14" s="15" t="s">
        <v>259</v>
      </c>
      <c r="Q14" s="523">
        <f>MIN(INT(($T$4*R11)*($A$26+$K$35+$B$34+$E$34+$B$52)*(1+$A$18)),ReadMe!$M$99)</f>
        <v>32399</v>
      </c>
      <c r="R14" s="1236"/>
      <c r="S14" s="86" t="s">
        <v>259</v>
      </c>
      <c r="T14" s="157">
        <f>MIN(INT(Q14*$F$41),ReadMe!$M$99)</f>
        <v>48598</v>
      </c>
    </row>
    <row r="15" spans="1:29" ht="14.25" thickBot="1">
      <c r="A15" s="402"/>
      <c r="B15" s="311" t="s">
        <v>876</v>
      </c>
      <c r="C15" s="312"/>
      <c r="D15" s="1440"/>
      <c r="E15" s="42" t="s">
        <v>261</v>
      </c>
      <c r="F15" s="8">
        <v>15</v>
      </c>
      <c r="G15" s="8"/>
      <c r="H15" s="8"/>
      <c r="I15" s="8"/>
      <c r="J15" s="8"/>
      <c r="K15" s="9"/>
      <c r="O15" s="1519" t="s">
        <v>299</v>
      </c>
      <c r="P15" s="1520"/>
      <c r="Q15" s="1751"/>
      <c r="R15" s="3" t="s">
        <v>257</v>
      </c>
      <c r="S15" s="1510">
        <f>Q12*5</f>
        <v>105295</v>
      </c>
      <c r="T15" s="1511"/>
      <c r="V15" s="402">
        <f>(S16/($A$26+$K$35+$B$34+$E$34+$B$52)*($A$27+$K$35+$B$34+$E$34+$B$52))</f>
        <v>155638.1086956522</v>
      </c>
      <c r="AB15" s="1405" t="s">
        <v>1117</v>
      </c>
      <c r="AC15" s="1406"/>
    </row>
    <row r="16" spans="1:29" ht="13.5">
      <c r="A16" s="402" t="b">
        <v>1</v>
      </c>
      <c r="B16" s="1765" t="s">
        <v>877</v>
      </c>
      <c r="C16" s="1766"/>
      <c r="D16" s="153">
        <f>D14/100</f>
        <v>0.2</v>
      </c>
      <c r="E16" s="42" t="s">
        <v>262</v>
      </c>
      <c r="F16" s="8">
        <v>4</v>
      </c>
      <c r="G16" s="8">
        <v>8</v>
      </c>
      <c r="H16" s="8"/>
      <c r="I16" s="8"/>
      <c r="J16" s="8"/>
      <c r="K16" s="9"/>
      <c r="O16" s="1438"/>
      <c r="P16" s="1439"/>
      <c r="Q16" s="1752"/>
      <c r="R16" s="261" t="s">
        <v>335</v>
      </c>
      <c r="S16" s="1758">
        <f>INT(Q13*(1-($G$41+$T$10))+T13*($G$41+T10))*5</f>
        <v>157695</v>
      </c>
      <c r="T16" s="1759"/>
      <c r="V16" s="1405" t="s">
        <v>1362</v>
      </c>
      <c r="W16" s="1406"/>
      <c r="Y16" s="1405" t="s">
        <v>1117</v>
      </c>
      <c r="Z16" s="1406"/>
      <c r="AB16" s="1721" t="s">
        <v>1139</v>
      </c>
      <c r="AC16" s="1722"/>
    </row>
    <row r="17" spans="1:29" ht="14.25" thickBot="1">
      <c r="A17" s="402" t="str">
        <f>IF(A16=TRUE,"TRUE",IF(D17=1,"TRUE","FLASE"))</f>
        <v>TRUE</v>
      </c>
      <c r="B17" s="14" t="s">
        <v>820</v>
      </c>
      <c r="C17" s="15"/>
      <c r="D17" s="501"/>
      <c r="E17" s="42" t="s">
        <v>5</v>
      </c>
      <c r="F17" s="8"/>
      <c r="G17" s="8">
        <v>3</v>
      </c>
      <c r="H17" s="8">
        <v>3</v>
      </c>
      <c r="I17" s="8">
        <v>3</v>
      </c>
      <c r="J17" s="8">
        <v>3</v>
      </c>
      <c r="K17" s="9"/>
      <c r="O17" s="1164"/>
      <c r="P17" s="1644"/>
      <c r="Q17" s="1753"/>
      <c r="R17" s="15" t="s">
        <v>259</v>
      </c>
      <c r="S17" s="1515">
        <f>T14*5</f>
        <v>242990</v>
      </c>
      <c r="T17" s="1516"/>
      <c r="V17" s="1721" t="s">
        <v>1115</v>
      </c>
      <c r="W17" s="1722"/>
      <c r="Y17" s="1721" t="s">
        <v>1138</v>
      </c>
      <c r="Z17" s="1722"/>
      <c r="AB17" s="1761" t="s">
        <v>1115</v>
      </c>
      <c r="AC17" s="1762"/>
    </row>
    <row r="18" spans="1:29" ht="14.25" thickBot="1">
      <c r="A18" s="648">
        <f>IF(A17="true",D16,0)</f>
        <v>0.2</v>
      </c>
      <c r="B18" s="163" t="s">
        <v>873</v>
      </c>
      <c r="C18" s="989"/>
      <c r="D18" s="224">
        <v>10</v>
      </c>
      <c r="E18" s="42" t="s">
        <v>5</v>
      </c>
      <c r="F18" s="8">
        <v>1</v>
      </c>
      <c r="G18" s="8">
        <v>1</v>
      </c>
      <c r="H18" s="8">
        <v>1</v>
      </c>
      <c r="I18" s="8">
        <v>1</v>
      </c>
      <c r="J18" s="8">
        <v>1</v>
      </c>
      <c r="K18" s="9"/>
      <c r="O18" s="1458" t="s">
        <v>268</v>
      </c>
      <c r="P18" s="1459"/>
      <c r="Q18" s="1459"/>
      <c r="R18" s="1757">
        <f>V15*T11*$G$47</f>
        <v>14785620.326086959</v>
      </c>
      <c r="S18" s="1478"/>
      <c r="T18" s="1479"/>
      <c r="V18" s="1760">
        <f>INT((R18-T11/60*V15*4)+$S$74*4)</f>
        <v>16376096</v>
      </c>
      <c r="W18" s="1687"/>
      <c r="Y18" s="1760">
        <f>R18+$P$70*6</f>
        <v>15042204.326086959</v>
      </c>
      <c r="Z18" s="1687"/>
      <c r="AB18" s="1760">
        <f>V18+$P$70*6</f>
        <v>16632680</v>
      </c>
      <c r="AC18" s="1687"/>
    </row>
    <row r="19" spans="1:11" ht="14.25" thickBot="1">
      <c r="A19" s="648"/>
      <c r="B19" s="730"/>
      <c r="C19" s="990"/>
      <c r="D19" s="991"/>
      <c r="E19" s="42" t="s">
        <v>5</v>
      </c>
      <c r="F19" s="8">
        <v>1</v>
      </c>
      <c r="G19" s="8">
        <v>1</v>
      </c>
      <c r="H19" s="8">
        <v>1</v>
      </c>
      <c r="I19" s="8">
        <v>1</v>
      </c>
      <c r="J19" s="8">
        <v>1</v>
      </c>
      <c r="K19" s="9"/>
    </row>
    <row r="20" spans="1:21" ht="14.25" thickBot="1">
      <c r="A20" s="648"/>
      <c r="B20" s="149"/>
      <c r="C20" s="59"/>
      <c r="D20" s="482"/>
      <c r="E20" s="42" t="s">
        <v>5</v>
      </c>
      <c r="F20" s="8"/>
      <c r="G20" s="8"/>
      <c r="H20" s="8"/>
      <c r="I20" s="8"/>
      <c r="J20" s="8"/>
      <c r="K20" s="9"/>
      <c r="O20" s="1158" t="s">
        <v>1365</v>
      </c>
      <c r="P20" s="1159"/>
      <c r="Q20" s="1159"/>
      <c r="R20" s="1159"/>
      <c r="S20" s="215" t="s">
        <v>334</v>
      </c>
      <c r="T20" s="770">
        <v>1</v>
      </c>
      <c r="U20" s="60"/>
    </row>
    <row r="21" spans="1:21" ht="14.25" thickBot="1">
      <c r="A21" s="648"/>
      <c r="B21" s="149"/>
      <c r="C21" s="59"/>
      <c r="D21" s="482"/>
      <c r="E21" s="42" t="s">
        <v>1305</v>
      </c>
      <c r="F21" s="8"/>
      <c r="G21" s="8">
        <v>2</v>
      </c>
      <c r="H21" s="8">
        <v>2</v>
      </c>
      <c r="I21" s="8">
        <v>2</v>
      </c>
      <c r="J21" s="8">
        <v>2</v>
      </c>
      <c r="K21" s="9"/>
      <c r="O21" s="147" t="s">
        <v>238</v>
      </c>
      <c r="P21" s="208">
        <f>D7</f>
        <v>30</v>
      </c>
      <c r="Q21" s="207" t="s">
        <v>252</v>
      </c>
      <c r="R21" s="214">
        <f>(750+5*P21)/100</f>
        <v>9</v>
      </c>
      <c r="S21" s="51" t="s">
        <v>267</v>
      </c>
      <c r="T21" s="73">
        <f>IF($D$5-$K$38&lt;=4,81,77)</f>
        <v>77</v>
      </c>
      <c r="U21" s="60"/>
    </row>
    <row r="22" spans="1:21" ht="14.25" thickBot="1">
      <c r="A22" s="648"/>
      <c r="B22" s="149"/>
      <c r="C22" s="59"/>
      <c r="D22" s="482"/>
      <c r="E22" s="42" t="s">
        <v>1307</v>
      </c>
      <c r="F22" s="8"/>
      <c r="G22" s="8">
        <v>3</v>
      </c>
      <c r="H22" s="8">
        <v>3</v>
      </c>
      <c r="I22" s="8">
        <v>3</v>
      </c>
      <c r="J22" s="8">
        <v>3</v>
      </c>
      <c r="K22" s="9"/>
      <c r="O22" s="1227" t="s">
        <v>304</v>
      </c>
      <c r="P22" s="76" t="s">
        <v>257</v>
      </c>
      <c r="Q22" s="521">
        <f>MIN(INT(($R$4*R21)*($A$26+$K$35+$B$34+$E$34+$B$52)*(1+$A$18)),ReadMe!$M$99)</f>
        <v>63178</v>
      </c>
      <c r="R22" s="1234" t="s">
        <v>1358</v>
      </c>
      <c r="S22" s="649" t="s">
        <v>257</v>
      </c>
      <c r="T22" s="613">
        <f>MIN(INT(Q22*$E$41),ReadMe!$M$99)</f>
        <v>82131</v>
      </c>
      <c r="U22" s="60"/>
    </row>
    <row r="23" spans="2:29" ht="14.25" thickBot="1">
      <c r="B23" s="992"/>
      <c r="C23" s="993"/>
      <c r="D23" s="994"/>
      <c r="E23" s="42" t="s">
        <v>181</v>
      </c>
      <c r="F23" s="8"/>
      <c r="G23" s="8"/>
      <c r="H23" s="8"/>
      <c r="I23" s="8"/>
      <c r="J23" s="8"/>
      <c r="K23" s="9"/>
      <c r="O23" s="1228"/>
      <c r="P23" s="43" t="s">
        <v>258</v>
      </c>
      <c r="Q23" s="522">
        <f>INT((Q22+Q24)/2)</f>
        <v>80188</v>
      </c>
      <c r="R23" s="1235"/>
      <c r="S23" s="79" t="s">
        <v>258</v>
      </c>
      <c r="T23" s="156">
        <f>MIN(INT(Q23*(($E$41+$F$41)/2)),ReadMe!$M$99)</f>
        <v>112263</v>
      </c>
      <c r="U23" s="60"/>
      <c r="V23" s="402">
        <f>(R25/($A$26+$K$35+$B$34+$E$34+$B$52)*($A$27+$K$35+$B$34+$E$34+$B$52))</f>
        <v>87055.48695652174</v>
      </c>
      <c r="AB23" s="1405" t="s">
        <v>1116</v>
      </c>
      <c r="AC23" s="1406"/>
    </row>
    <row r="24" spans="1:29" ht="14.25" thickBot="1">
      <c r="A24" s="402" t="b">
        <v>1</v>
      </c>
      <c r="B24" s="698" t="s">
        <v>298</v>
      </c>
      <c r="C24" s="11"/>
      <c r="D24" s="204">
        <v>10</v>
      </c>
      <c r="E24" s="42" t="s">
        <v>14</v>
      </c>
      <c r="F24" s="8"/>
      <c r="G24" s="8"/>
      <c r="H24" s="8"/>
      <c r="I24" s="8"/>
      <c r="J24" s="8"/>
      <c r="K24" s="9"/>
      <c r="O24" s="1229"/>
      <c r="P24" s="15" t="s">
        <v>259</v>
      </c>
      <c r="Q24" s="523">
        <f>MIN(INT(($T$4*R21)*($A$26+$K$35+$B$34+$E$34+$B$52)*(1+$A$18)),ReadMe!$M$99)</f>
        <v>97198</v>
      </c>
      <c r="R24" s="1236"/>
      <c r="S24" s="86" t="s">
        <v>259</v>
      </c>
      <c r="T24" s="157">
        <f>MIN(INT(Q24*$F$41),ReadMe!$M$99)</f>
        <v>145797</v>
      </c>
      <c r="U24" s="96"/>
      <c r="V24" s="1405" t="s">
        <v>1360</v>
      </c>
      <c r="W24" s="1406"/>
      <c r="Y24" s="1405" t="s">
        <v>1116</v>
      </c>
      <c r="Z24" s="1406"/>
      <c r="AB24" s="1721" t="s">
        <v>1139</v>
      </c>
      <c r="AC24" s="1722"/>
    </row>
    <row r="25" spans="1:29" ht="14.25" thickBot="1">
      <c r="A25" s="402" t="str">
        <f>IF(A24=TRUE,"TRUE",IF(D25=1,"TRUE","FLASE"))</f>
        <v>TRUE</v>
      </c>
      <c r="B25" s="14" t="s">
        <v>820</v>
      </c>
      <c r="C25" s="15"/>
      <c r="D25" s="501"/>
      <c r="E25" s="7" t="s">
        <v>1153</v>
      </c>
      <c r="F25" s="8">
        <v>20</v>
      </c>
      <c r="G25" s="8"/>
      <c r="H25" s="8"/>
      <c r="I25" s="8"/>
      <c r="J25" s="8"/>
      <c r="K25" s="9"/>
      <c r="O25" s="1434" t="s">
        <v>323</v>
      </c>
      <c r="P25" s="1435"/>
      <c r="Q25" s="1435"/>
      <c r="R25" s="1756">
        <f>INT(Q23*(1-$G$41)+T23*$G$41)</f>
        <v>88206</v>
      </c>
      <c r="S25" s="1178"/>
      <c r="T25" s="1179"/>
      <c r="V25" s="1721" t="s">
        <v>1115</v>
      </c>
      <c r="W25" s="1722"/>
      <c r="Y25" s="1721" t="s">
        <v>1138</v>
      </c>
      <c r="Z25" s="1722"/>
      <c r="AB25" s="1761" t="s">
        <v>1115</v>
      </c>
      <c r="AC25" s="1762"/>
    </row>
    <row r="26" spans="1:29" ht="14.25" thickBot="1">
      <c r="A26" s="402">
        <f>IF(A25="true",IF(D24&gt;0,1+(5+D24)/100,1),1)</f>
        <v>1.15</v>
      </c>
      <c r="B26" s="1342" t="s">
        <v>871</v>
      </c>
      <c r="C26" s="1343"/>
      <c r="D26" s="69">
        <v>18</v>
      </c>
      <c r="E26" s="7" t="s">
        <v>714</v>
      </c>
      <c r="F26" s="8"/>
      <c r="G26" s="8"/>
      <c r="H26" s="8"/>
      <c r="I26" s="8"/>
      <c r="J26" s="8"/>
      <c r="K26" s="9"/>
      <c r="O26" s="1458" t="s">
        <v>268</v>
      </c>
      <c r="P26" s="1459"/>
      <c r="Q26" s="1459"/>
      <c r="R26" s="1757">
        <f>V23*T20*T21*$G$47</f>
        <v>6703272.495652174</v>
      </c>
      <c r="S26" s="1478"/>
      <c r="T26" s="1479"/>
      <c r="V26" s="1760">
        <f>INT((R26-T21/60*V23*T20)+$S$74*4)</f>
        <v>9167735</v>
      </c>
      <c r="W26" s="1687"/>
      <c r="Y26" s="1760">
        <f>R26+$P$70*6</f>
        <v>6959856.495652174</v>
      </c>
      <c r="Z26" s="1687"/>
      <c r="AB26" s="1760">
        <f>V26+$P$70*6</f>
        <v>9424319</v>
      </c>
      <c r="AC26" s="1687"/>
    </row>
    <row r="27" spans="1:11" ht="14.25" thickBot="1">
      <c r="A27" s="402">
        <f>IF(A25="true",IF(D24&gt;0,MIN((((15+3*$D$24)/50)*(5+$D$24))/100+1,1.17),1),1)</f>
        <v>1.135</v>
      </c>
      <c r="B27" s="1428" t="s">
        <v>442</v>
      </c>
      <c r="C27" s="1429"/>
      <c r="D27" s="2">
        <v>9</v>
      </c>
      <c r="E27" s="216" t="s">
        <v>1310</v>
      </c>
      <c r="F27" s="8">
        <v>20</v>
      </c>
      <c r="G27" s="40">
        <f>ROUNDDOWN(G3*D28%,0)</f>
        <v>2</v>
      </c>
      <c r="H27" s="40">
        <f>ROUNDDOWN(H3*D28%,0)</f>
        <v>36</v>
      </c>
      <c r="I27" s="40">
        <f>ROUNDDOWN(I3*D28%,0)</f>
        <v>0</v>
      </c>
      <c r="J27" s="40">
        <f>ROUNDDOWN(J3*D28%,0)</f>
        <v>0</v>
      </c>
      <c r="K27" s="9">
        <v>280</v>
      </c>
    </row>
    <row r="28" spans="2:20" ht="14.25" thickBot="1">
      <c r="B28" s="14" t="s">
        <v>263</v>
      </c>
      <c r="C28" s="538"/>
      <c r="D28" s="46">
        <f>ROUNDUP(D27/2,0)</f>
        <v>5</v>
      </c>
      <c r="E28" s="7" t="s">
        <v>264</v>
      </c>
      <c r="F28" s="43">
        <f>D29</f>
        <v>0</v>
      </c>
      <c r="G28" s="43">
        <f>SUM(G4:G26)</f>
        <v>70</v>
      </c>
      <c r="H28" s="43">
        <f>SUM(H4:H26)</f>
        <v>71</v>
      </c>
      <c r="I28" s="43">
        <f>SUM(I4:I26)</f>
        <v>27</v>
      </c>
      <c r="J28" s="43">
        <f>SUM(J4:J26)</f>
        <v>27</v>
      </c>
      <c r="K28" s="44">
        <f>SUM(K3:K27)+D29</f>
        <v>309</v>
      </c>
      <c r="O28" s="1158" t="s">
        <v>1357</v>
      </c>
      <c r="P28" s="1159"/>
      <c r="Q28" s="1159"/>
      <c r="R28" s="1159"/>
      <c r="S28" s="1159"/>
      <c r="T28" s="1160"/>
    </row>
    <row r="29" spans="2:20" ht="14.25" thickBot="1">
      <c r="B29" s="17" t="s">
        <v>1378</v>
      </c>
      <c r="C29" s="195"/>
      <c r="D29" s="313">
        <v>0</v>
      </c>
      <c r="E29" s="14" t="s">
        <v>256</v>
      </c>
      <c r="F29" s="48">
        <f>D26+SUM(F4:F28)</f>
        <v>186</v>
      </c>
      <c r="G29" s="546">
        <f>INT((G3+G27+G28)*(1+G32))</f>
        <v>120</v>
      </c>
      <c r="H29" s="546">
        <f>INT((H3+H27+H28)*(1+H32))</f>
        <v>905</v>
      </c>
      <c r="I29" s="546">
        <f>INT((I3+I27+I28)*(1+I32))</f>
        <v>31</v>
      </c>
      <c r="J29" s="546">
        <f>INT((J3+J27+J28)*(1+J32))</f>
        <v>31</v>
      </c>
      <c r="K29" s="547">
        <f>($G$29*0.4+$J$29*0.8+$H$29*1.6+K28)*(1+K32)</f>
        <v>1829.8</v>
      </c>
      <c r="O29" s="147" t="s">
        <v>238</v>
      </c>
      <c r="P29" s="208">
        <f>D8</f>
        <v>30</v>
      </c>
      <c r="Q29" s="207" t="s">
        <v>252</v>
      </c>
      <c r="R29" s="209">
        <f>(165+2*P29)/100</f>
        <v>2.25</v>
      </c>
      <c r="S29" s="210" t="s">
        <v>326</v>
      </c>
      <c r="T29" s="211">
        <v>500</v>
      </c>
    </row>
    <row r="30" spans="2:22" ht="14.25" thickBot="1">
      <c r="B30" s="1305" t="s">
        <v>981</v>
      </c>
      <c r="C30" s="1306"/>
      <c r="D30" s="1306"/>
      <c r="E30" s="1306"/>
      <c r="F30" s="1306"/>
      <c r="G30" s="1306"/>
      <c r="H30" s="1306"/>
      <c r="I30" s="1306"/>
      <c r="J30" s="1306"/>
      <c r="K30" s="1307"/>
      <c r="O30" s="1227" t="s">
        <v>304</v>
      </c>
      <c r="P30" s="76" t="s">
        <v>257</v>
      </c>
      <c r="Q30" s="521">
        <f>MIN(INT(($R$4*R29)*($A$26+$K$35+$B$34+$E$34+$B$52)*(1+$A$18)),ReadMe!$M$99)</f>
        <v>15794</v>
      </c>
      <c r="R30" s="1234" t="s">
        <v>1358</v>
      </c>
      <c r="S30" s="186" t="s">
        <v>257</v>
      </c>
      <c r="T30" s="155">
        <f>MIN(INT(Q30*$E$41),ReadMe!$M$99)</f>
        <v>20532</v>
      </c>
      <c r="V30" s="229"/>
    </row>
    <row r="31" spans="2:29" ht="14.25" thickBot="1">
      <c r="B31" s="1218" t="s">
        <v>762</v>
      </c>
      <c r="C31" s="1219"/>
      <c r="D31" s="1220"/>
      <c r="E31" s="1308" t="s">
        <v>982</v>
      </c>
      <c r="F31" s="1309"/>
      <c r="G31" s="1" t="s">
        <v>986</v>
      </c>
      <c r="H31" s="3" t="s">
        <v>985</v>
      </c>
      <c r="I31" s="3" t="s">
        <v>984</v>
      </c>
      <c r="J31" s="3" t="s">
        <v>983</v>
      </c>
      <c r="K31" s="4" t="s">
        <v>987</v>
      </c>
      <c r="O31" s="1228"/>
      <c r="P31" s="43" t="s">
        <v>258</v>
      </c>
      <c r="Q31" s="522">
        <f>INT((Q30+Q32)/2)</f>
        <v>20046</v>
      </c>
      <c r="R31" s="1235"/>
      <c r="S31" s="79" t="s">
        <v>258</v>
      </c>
      <c r="T31" s="156">
        <f>MIN(INT(Q31*(($E$41+$F$41)/2)),ReadMe!$M$99)</f>
        <v>28064</v>
      </c>
      <c r="V31" s="402">
        <f>(R33/($A$26+$K$35+$B$34+$E$34+$B$52)*($A$27+$K$35+$B$34+$E$34+$B$52))</f>
        <v>21762.391304347828</v>
      </c>
      <c r="AB31" s="1405" t="s">
        <v>1116</v>
      </c>
      <c r="AC31" s="1406"/>
    </row>
    <row r="32" spans="2:29" ht="14.25" thickBot="1">
      <c r="B32" s="1210">
        <v>0</v>
      </c>
      <c r="C32" s="1211"/>
      <c r="D32" s="1212"/>
      <c r="E32" s="1130">
        <v>0</v>
      </c>
      <c r="F32" s="1131"/>
      <c r="G32" s="542">
        <v>0</v>
      </c>
      <c r="H32" s="543">
        <v>0.09</v>
      </c>
      <c r="I32" s="543">
        <v>0</v>
      </c>
      <c r="J32" s="543">
        <v>0</v>
      </c>
      <c r="K32" s="544">
        <v>0</v>
      </c>
      <c r="O32" s="1229"/>
      <c r="P32" s="15" t="s">
        <v>259</v>
      </c>
      <c r="Q32" s="523">
        <f>MIN(INT(($T$4*R29)*($A$26+$K$35+$B$34+$E$34+$B$52)*(1+$A$18)),ReadMe!$M$99)</f>
        <v>24299</v>
      </c>
      <c r="R32" s="1236"/>
      <c r="S32" s="86" t="s">
        <v>259</v>
      </c>
      <c r="T32" s="157">
        <f>MIN(INT(Q32*$F$41),ReadMe!$M$99)</f>
        <v>36448</v>
      </c>
      <c r="V32" s="1405" t="s">
        <v>1360</v>
      </c>
      <c r="W32" s="1406"/>
      <c r="Y32" s="1405" t="s">
        <v>1116</v>
      </c>
      <c r="Z32" s="1406"/>
      <c r="AB32" s="1721" t="s">
        <v>1139</v>
      </c>
      <c r="AC32" s="1722"/>
    </row>
    <row r="33" spans="2:29" ht="14.25" thickBot="1">
      <c r="B33" s="1221" t="s">
        <v>135</v>
      </c>
      <c r="C33" s="1166"/>
      <c r="D33" s="1177"/>
      <c r="E33" s="1261" t="s">
        <v>877</v>
      </c>
      <c r="F33" s="1262"/>
      <c r="O33" s="1302" t="s">
        <v>323</v>
      </c>
      <c r="P33" s="1303"/>
      <c r="Q33" s="1507"/>
      <c r="R33" s="1756">
        <f>INT(Q31*(1-$G$41)+T31*$G$41)</f>
        <v>22050</v>
      </c>
      <c r="S33" s="1178"/>
      <c r="T33" s="1179"/>
      <c r="V33" s="1721" t="s">
        <v>1115</v>
      </c>
      <c r="W33" s="1722"/>
      <c r="Y33" s="1721" t="s">
        <v>1138</v>
      </c>
      <c r="Z33" s="1722"/>
      <c r="AB33" s="1761" t="s">
        <v>1115</v>
      </c>
      <c r="AC33" s="1762"/>
    </row>
    <row r="34" spans="2:29" ht="14.25" thickBot="1">
      <c r="B34" s="1210">
        <v>0</v>
      </c>
      <c r="C34" s="1222"/>
      <c r="D34" s="1212"/>
      <c r="E34" s="1130">
        <v>0</v>
      </c>
      <c r="F34" s="1131"/>
      <c r="I34" s="1297" t="s">
        <v>1417</v>
      </c>
      <c r="J34" s="1298"/>
      <c r="K34" s="1299"/>
      <c r="O34" s="1342" t="s">
        <v>268</v>
      </c>
      <c r="P34" s="1420"/>
      <c r="Q34" s="1420"/>
      <c r="R34" s="1757">
        <f>V31*T29*$G$47</f>
        <v>10881195.652173914</v>
      </c>
      <c r="S34" s="1478"/>
      <c r="T34" s="1479"/>
      <c r="V34" s="1760">
        <f>INT((R34-40*V31)+$S$74*4)</f>
        <v>12586884</v>
      </c>
      <c r="W34" s="1687"/>
      <c r="Y34" s="1760">
        <f>INT((R34-6*V31+S42*6)+$P$70*6)</f>
        <v>11377663</v>
      </c>
      <c r="Z34" s="1687"/>
      <c r="AB34" s="1763">
        <f>INT(V34-2*R33+2*S42+P70*6)</f>
        <v>12922854</v>
      </c>
      <c r="AC34" s="1764"/>
    </row>
    <row r="35" spans="9:11" ht="14.25" thickBot="1">
      <c r="I35" s="14" t="s">
        <v>1410</v>
      </c>
      <c r="J35" s="15"/>
      <c r="K35" s="534">
        <v>0</v>
      </c>
    </row>
    <row r="36" spans="2:20" ht="14.25" thickBot="1">
      <c r="B36" s="1280" t="s">
        <v>88</v>
      </c>
      <c r="C36" s="1281"/>
      <c r="D36" s="1281"/>
      <c r="E36" s="503" t="s">
        <v>257</v>
      </c>
      <c r="F36" s="19" t="s">
        <v>259</v>
      </c>
      <c r="G36" s="504" t="s">
        <v>1085</v>
      </c>
      <c r="O36" s="1158" t="s">
        <v>1363</v>
      </c>
      <c r="P36" s="1159"/>
      <c r="Q36" s="1159"/>
      <c r="R36" s="1159"/>
      <c r="S36" s="1159"/>
      <c r="T36" s="1160"/>
    </row>
    <row r="37" spans="2:20" ht="14.25" thickBot="1">
      <c r="B37" s="1213" t="s">
        <v>90</v>
      </c>
      <c r="C37" s="1214"/>
      <c r="D37" s="1215"/>
      <c r="E37" s="35">
        <v>1.3</v>
      </c>
      <c r="F37" s="507">
        <v>1.5</v>
      </c>
      <c r="G37" s="241">
        <f>0.25+IF(T7="true",P7,0)</f>
        <v>0.25</v>
      </c>
      <c r="I37" s="1256" t="s">
        <v>438</v>
      </c>
      <c r="J37" s="1300"/>
      <c r="K37" s="1301"/>
      <c r="O37" s="147" t="s">
        <v>447</v>
      </c>
      <c r="P37" s="208">
        <v>20</v>
      </c>
      <c r="Q37" s="207" t="s">
        <v>252</v>
      </c>
      <c r="R37" s="214">
        <f>(170+2*P37)/100</f>
        <v>2.1</v>
      </c>
      <c r="S37" s="51" t="s">
        <v>267</v>
      </c>
      <c r="T37" s="73">
        <f>IF($D$5-$K$38&lt;=4,91,86)</f>
        <v>86</v>
      </c>
    </row>
    <row r="38" spans="2:20" ht="14.25" thickBot="1">
      <c r="B38" s="1228" t="s">
        <v>86</v>
      </c>
      <c r="C38" s="1284"/>
      <c r="D38" s="516">
        <v>0</v>
      </c>
      <c r="E38" s="506"/>
      <c r="F38" s="505">
        <f>D38/100</f>
        <v>0</v>
      </c>
      <c r="G38" s="511">
        <f>IF(D38=0,0,(5+ROUNDUP(D38/2,0))/100)</f>
        <v>0</v>
      </c>
      <c r="I38" s="1256" t="s">
        <v>440</v>
      </c>
      <c r="J38" s="1257"/>
      <c r="K38" s="1258"/>
      <c r="O38" s="1227" t="s">
        <v>304</v>
      </c>
      <c r="P38" s="76" t="s">
        <v>257</v>
      </c>
      <c r="Q38" s="521">
        <f>MIN(INT(($R$4*R37)*($A$26+$K$35+$B$34+$E$34+$B$52)*(1+$A$18)),ReadMe!$M$99)</f>
        <v>14741</v>
      </c>
      <c r="R38" s="1234" t="s">
        <v>1358</v>
      </c>
      <c r="S38" s="649" t="s">
        <v>257</v>
      </c>
      <c r="T38" s="613">
        <f>MIN(INT(Q38*$E$41),ReadMe!$M$99)</f>
        <v>19163</v>
      </c>
    </row>
    <row r="39" spans="1:20"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O39" s="1228"/>
      <c r="P39" s="43" t="s">
        <v>258</v>
      </c>
      <c r="Q39" s="522">
        <f>INT((Q38+Q40)/2)</f>
        <v>18710</v>
      </c>
      <c r="R39" s="1235"/>
      <c r="S39" s="79" t="s">
        <v>258</v>
      </c>
      <c r="T39" s="156">
        <f>MIN(INT(Q39*(($E$41+$F$41)/2)),ReadMe!$M$99)</f>
        <v>26194</v>
      </c>
    </row>
    <row r="40" spans="2:20" ht="14.25" thickBot="1">
      <c r="B40" s="1285" t="s">
        <v>89</v>
      </c>
      <c r="C40" s="1286"/>
      <c r="D40" s="1287"/>
      <c r="E40" s="513">
        <v>0</v>
      </c>
      <c r="F40" s="514">
        <v>0</v>
      </c>
      <c r="G40" s="515">
        <v>0</v>
      </c>
      <c r="O40" s="1229"/>
      <c r="P40" s="15" t="s">
        <v>259</v>
      </c>
      <c r="Q40" s="523">
        <f>MIN(INT(($T$4*R37)*($A$26+$K$35+$B$34+$E$34+$B$52)*(1+$A$18)),ReadMe!$M$99)</f>
        <v>22679</v>
      </c>
      <c r="R40" s="1236"/>
      <c r="S40" s="86" t="s">
        <v>259</v>
      </c>
      <c r="T40" s="157">
        <f>MIN(INT(Q40*$F$41),ReadMe!$M$99)</f>
        <v>34018</v>
      </c>
    </row>
    <row r="41" spans="2:29" ht="14.25" thickBot="1">
      <c r="B41" s="1290" t="s">
        <v>91</v>
      </c>
      <c r="C41" s="1291"/>
      <c r="D41" s="1292"/>
      <c r="E41" s="508">
        <f>E37+E39+E40</f>
        <v>1.3</v>
      </c>
      <c r="F41" s="509">
        <f>F37+MAX(F38,F39)+F40</f>
        <v>1.5</v>
      </c>
      <c r="G41" s="510">
        <f>G37+MAX(G38,G39)+G40</f>
        <v>0.25</v>
      </c>
      <c r="I41" s="1259" t="s">
        <v>128</v>
      </c>
      <c r="J41" s="1260"/>
      <c r="K41" s="791"/>
      <c r="L41" s="402" t="b">
        <v>0</v>
      </c>
      <c r="M41" s="486" t="str">
        <f>IF(L41=TRUE,"TRUE",IF(K41=1,"TRUE","FLASE"))</f>
        <v>FLASE</v>
      </c>
      <c r="O41" s="1519" t="s">
        <v>1135</v>
      </c>
      <c r="P41" s="1520"/>
      <c r="Q41" s="1751"/>
      <c r="R41" s="3" t="s">
        <v>257</v>
      </c>
      <c r="S41" s="1510">
        <f>Q38*3</f>
        <v>44223</v>
      </c>
      <c r="T41" s="1511"/>
      <c r="U41" s="125"/>
      <c r="V41" s="402">
        <f>(S42/($A$26+$K$35+$B$34+$E$34+$B$52)*($A$27+$K$35+$B$34+$E$34+$B$52))</f>
        <v>60937.65652173914</v>
      </c>
      <c r="AB41" s="1405" t="s">
        <v>1136</v>
      </c>
      <c r="AC41" s="1406"/>
    </row>
    <row r="42" spans="2:29" ht="14.25" thickBot="1">
      <c r="B42" s="1216" t="s">
        <v>331</v>
      </c>
      <c r="C42" s="1199"/>
      <c r="D42" s="1200"/>
      <c r="E42" s="1253">
        <f>(($E$41+$F$41)/2-1)*$G$41+1</f>
        <v>1.1</v>
      </c>
      <c r="F42" s="1254"/>
      <c r="G42" s="1255"/>
      <c r="I42" s="590" t="s">
        <v>1119</v>
      </c>
      <c r="J42" s="788"/>
      <c r="K42" s="789">
        <v>0</v>
      </c>
      <c r="O42" s="1438"/>
      <c r="P42" s="1439"/>
      <c r="Q42" s="1752"/>
      <c r="R42" s="261" t="s">
        <v>335</v>
      </c>
      <c r="S42" s="1758">
        <f>INT(Q39*(1-$G$41)+T39*$G$41)*3</f>
        <v>61743</v>
      </c>
      <c r="T42" s="1759"/>
      <c r="U42" s="125"/>
      <c r="V42" s="1405" t="s">
        <v>1364</v>
      </c>
      <c r="W42" s="1406"/>
      <c r="Y42" s="1405" t="s">
        <v>1136</v>
      </c>
      <c r="Z42" s="1406"/>
      <c r="AB42" s="1721" t="s">
        <v>1140</v>
      </c>
      <c r="AC42" s="1722"/>
    </row>
    <row r="43" spans="9:29" ht="14.25" thickBot="1">
      <c r="I43" s="1251" t="s">
        <v>854</v>
      </c>
      <c r="J43" s="1252"/>
      <c r="K43" s="790">
        <f>IF(M41="true",IF(K42&gt;0,10+ROUNDUP(K42/3,0),10)/100,0)</f>
        <v>0</v>
      </c>
      <c r="L43" s="323"/>
      <c r="M43" s="323"/>
      <c r="O43" s="1164"/>
      <c r="P43" s="1644"/>
      <c r="Q43" s="1753"/>
      <c r="R43" s="15" t="s">
        <v>259</v>
      </c>
      <c r="S43" s="1515">
        <f>T40*3</f>
        <v>102054</v>
      </c>
      <c r="T43" s="1516"/>
      <c r="U43" s="60"/>
      <c r="V43" s="1721" t="s">
        <v>1115</v>
      </c>
      <c r="W43" s="1722"/>
      <c r="Y43" s="1721" t="s">
        <v>1138</v>
      </c>
      <c r="Z43" s="1722"/>
      <c r="AB43" s="1761" t="s">
        <v>1115</v>
      </c>
      <c r="AC43" s="1762"/>
    </row>
    <row r="44" spans="15:29" ht="14.25" thickBot="1">
      <c r="O44" s="1458" t="s">
        <v>268</v>
      </c>
      <c r="P44" s="1459"/>
      <c r="Q44" s="1459"/>
      <c r="R44" s="1757">
        <f>V41*T37*$G$47</f>
        <v>5240638.460869566</v>
      </c>
      <c r="S44" s="1478"/>
      <c r="T44" s="1479"/>
      <c r="U44" s="60"/>
      <c r="V44" s="1760">
        <f>INT((R44-T37/60*V41*4)+$S$74*4)</f>
        <v>7467446</v>
      </c>
      <c r="W44" s="1687"/>
      <c r="Y44" s="1760">
        <f>R44+P70*6</f>
        <v>5497222.460869566</v>
      </c>
      <c r="Z44" s="1687"/>
      <c r="AB44" s="1760">
        <f>V44+P70*6</f>
        <v>7724030</v>
      </c>
      <c r="AC44" s="1687"/>
    </row>
    <row r="45" spans="2:21" ht="14.25" thickBot="1">
      <c r="B45" s="1282" t="s">
        <v>735</v>
      </c>
      <c r="C45" s="1283"/>
      <c r="D45" s="533">
        <v>125</v>
      </c>
      <c r="E45" s="1249" t="s">
        <v>736</v>
      </c>
      <c r="F45" s="1250"/>
      <c r="G45" s="25">
        <f>IF(D2&gt;D45,0,$D$45-$D$2)</f>
        <v>0</v>
      </c>
      <c r="I45" s="1137" t="s">
        <v>159</v>
      </c>
      <c r="J45" s="1138"/>
      <c r="K45" s="1139"/>
      <c r="U45" s="60"/>
    </row>
    <row r="46" spans="2:21" ht="14.25" thickBot="1">
      <c r="B46" s="1242" t="s">
        <v>769</v>
      </c>
      <c r="C46" s="1243"/>
      <c r="D46" s="9">
        <v>12</v>
      </c>
      <c r="E46" s="1242" t="s">
        <v>771</v>
      </c>
      <c r="F46" s="1243"/>
      <c r="G46" s="615">
        <f>IF(G45&gt;0,"-",D46)</f>
        <v>12</v>
      </c>
      <c r="I46" s="416" t="s">
        <v>160</v>
      </c>
      <c r="J46" s="539"/>
      <c r="K46" s="204">
        <v>0</v>
      </c>
      <c r="L46" s="323"/>
      <c r="M46" s="323"/>
      <c r="O46" s="1158" t="s">
        <v>1366</v>
      </c>
      <c r="P46" s="1159"/>
      <c r="Q46" s="1159"/>
      <c r="R46" s="1159"/>
      <c r="S46" s="1159"/>
      <c r="T46" s="1160"/>
      <c r="U46" s="67"/>
    </row>
    <row r="47" spans="2:21" ht="14.25" thickBot="1">
      <c r="B47" s="1293" t="s">
        <v>734</v>
      </c>
      <c r="C47" s="1294"/>
      <c r="D47" s="9">
        <v>0</v>
      </c>
      <c r="E47" s="1242" t="s">
        <v>770</v>
      </c>
      <c r="F47" s="1243"/>
      <c r="G47" s="511">
        <f>MAX((MIN(100+SQRT($K$29)-SQRT($D$46),100)-2*G45)/100,0)</f>
        <v>1</v>
      </c>
      <c r="I47" s="417" t="s">
        <v>161</v>
      </c>
      <c r="J47" s="540"/>
      <c r="K47" s="418">
        <f>IF(K46&gt;0,(K46+10)/100,0)</f>
        <v>0</v>
      </c>
      <c r="O47" s="262" t="s">
        <v>574</v>
      </c>
      <c r="P47" s="208">
        <f>D9</f>
        <v>1</v>
      </c>
      <c r="Q47" s="254" t="s">
        <v>252</v>
      </c>
      <c r="R47" s="214">
        <f>(700+15*P47)/100</f>
        <v>7.15</v>
      </c>
      <c r="S47" s="401" t="s">
        <v>874</v>
      </c>
      <c r="T47" s="82">
        <f>40-2*INT(P47/3)</f>
        <v>40</v>
      </c>
      <c r="U47" s="57"/>
    </row>
    <row r="48" spans="2:20" ht="14.25" thickBot="1">
      <c r="B48" s="1278" t="s">
        <v>979</v>
      </c>
      <c r="C48" s="1279"/>
      <c r="D48" s="534">
        <v>0.25</v>
      </c>
      <c r="E48" s="1197" t="s">
        <v>980</v>
      </c>
      <c r="F48" s="1198"/>
      <c r="G48" s="28">
        <f>1-(D48-ROUNDUP(D48*(K47+B32),2))</f>
        <v>0.75</v>
      </c>
      <c r="O48" s="1227" t="s">
        <v>304</v>
      </c>
      <c r="P48" s="76" t="s">
        <v>257</v>
      </c>
      <c r="Q48" s="521">
        <f>MIN(INT(($R$4*R47)*($A$26+$K$35+$B$34+$E$34+$B$52)*(1+$A$18)),ReadMe!$M$99)</f>
        <v>50192</v>
      </c>
      <c r="R48" s="1234" t="s">
        <v>1358</v>
      </c>
      <c r="S48" s="649" t="s">
        <v>257</v>
      </c>
      <c r="T48" s="613">
        <f>MIN(INT(Q48*$E$41),ReadMe!$M$99)</f>
        <v>65249</v>
      </c>
    </row>
    <row r="49" spans="4:21" ht="14.25" thickBot="1">
      <c r="D49" s="402">
        <f>$D$47*(1-($K$47+$B$32))</f>
        <v>0</v>
      </c>
      <c r="I49" s="1246" t="s">
        <v>79</v>
      </c>
      <c r="J49" s="1247"/>
      <c r="K49" s="1248"/>
      <c r="L49" s="323"/>
      <c r="M49" s="162"/>
      <c r="O49" s="1228"/>
      <c r="P49" s="43" t="s">
        <v>258</v>
      </c>
      <c r="Q49" s="522">
        <f>INT((Q48+Q50)/2)</f>
        <v>63705</v>
      </c>
      <c r="R49" s="1235"/>
      <c r="S49" s="79" t="s">
        <v>258</v>
      </c>
      <c r="T49" s="156">
        <f>MIN(INT(Q49*(($E$41+$F$41)/2)),ReadMe!$M$99)</f>
        <v>89187</v>
      </c>
      <c r="U49" s="57"/>
    </row>
    <row r="50" spans="2:21" ht="14.25" thickBot="1">
      <c r="B50" s="1153" t="s">
        <v>1084</v>
      </c>
      <c r="C50" s="1133"/>
      <c r="D50" s="1129"/>
      <c r="I50" s="1127" t="s">
        <v>988</v>
      </c>
      <c r="J50" s="1217"/>
      <c r="K50" s="468"/>
      <c r="L50" s="486" t="b">
        <v>0</v>
      </c>
      <c r="M50" s="486" t="str">
        <f>IF(L50=TRUE,"TRUE",IF(K50=1,"TRUE","FLASE"))</f>
        <v>FLASE</v>
      </c>
      <c r="O50" s="1229"/>
      <c r="P50" s="15" t="s">
        <v>259</v>
      </c>
      <c r="Q50" s="523">
        <f>MIN(INT(($T$4*R47)*($A$26+$K$35+$B$34+$E$34+$B$52)*(1+$A$18)),ReadMe!$M$99)</f>
        <v>77218</v>
      </c>
      <c r="R50" s="1236"/>
      <c r="S50" s="86" t="s">
        <v>259</v>
      </c>
      <c r="T50" s="157">
        <f>MIN(INT(Q50*$F$41),ReadMe!$M$99)</f>
        <v>115827</v>
      </c>
      <c r="U50" s="59"/>
    </row>
    <row r="51" spans="2:21" ht="14.25" thickBot="1">
      <c r="B51" s="1187" t="s">
        <v>877</v>
      </c>
      <c r="C51" s="1188"/>
      <c r="D51" s="1189"/>
      <c r="I51" s="1244" t="s">
        <v>989</v>
      </c>
      <c r="J51" s="1245"/>
      <c r="K51" s="469"/>
      <c r="L51" s="486" t="b">
        <v>0</v>
      </c>
      <c r="M51" s="486" t="str">
        <f>IF(L51=TRUE,"TRUE",IF(K51=1,"TRUE","FLASE"))</f>
        <v>FLASE</v>
      </c>
      <c r="O51" s="1434" t="s">
        <v>323</v>
      </c>
      <c r="P51" s="1435"/>
      <c r="Q51" s="1435"/>
      <c r="R51" s="1756">
        <f>INT(Q49*(1-$G$41)+T49*$G$41)</f>
        <v>70075</v>
      </c>
      <c r="S51" s="1178"/>
      <c r="T51" s="1179"/>
      <c r="U51" s="59"/>
    </row>
    <row r="52" spans="2:21" ht="14.25" thickBot="1">
      <c r="B52" s="1194">
        <v>0</v>
      </c>
      <c r="C52" s="1195"/>
      <c r="D52" s="1196"/>
      <c r="I52" s="1240" t="s">
        <v>854</v>
      </c>
      <c r="J52" s="1241"/>
      <c r="K52" s="206">
        <f>IF(M50="TRUE",1.04,IF(M51="TRUE",1.02,1))</f>
        <v>1</v>
      </c>
      <c r="L52" s="333"/>
      <c r="M52" s="333"/>
      <c r="O52" s="57"/>
      <c r="P52" s="57"/>
      <c r="Q52" s="57"/>
      <c r="R52" s="57"/>
      <c r="S52" s="57"/>
      <c r="T52" s="57"/>
      <c r="U52" s="59"/>
    </row>
    <row r="53" spans="15:21" ht="14.25" thickBot="1">
      <c r="O53" s="1158" t="s">
        <v>1367</v>
      </c>
      <c r="P53" s="1159"/>
      <c r="Q53" s="1159"/>
      <c r="R53" s="1160"/>
      <c r="S53" s="262" t="s">
        <v>574</v>
      </c>
      <c r="T53" s="704">
        <f>D13</f>
        <v>20</v>
      </c>
      <c r="U53" s="314"/>
    </row>
    <row r="54" spans="2:21" ht="14.25" thickBot="1">
      <c r="B54" s="1201" t="s">
        <v>265</v>
      </c>
      <c r="C54" s="1202"/>
      <c r="D54" s="1202"/>
      <c r="E54" s="1202"/>
      <c r="F54" s="1202"/>
      <c r="G54" s="1202"/>
      <c r="H54" s="1202"/>
      <c r="I54" s="1202"/>
      <c r="J54" s="1202"/>
      <c r="K54" s="1202"/>
      <c r="L54" s="1203"/>
      <c r="O54" s="609" t="s">
        <v>252</v>
      </c>
      <c r="P54" s="705">
        <f>((280+5*T53)+IF(D12=0,0,(20+2*D12)))/100</f>
        <v>4.6</v>
      </c>
      <c r="Q54" s="51" t="s">
        <v>1063</v>
      </c>
      <c r="R54" s="74">
        <f>(40+D12+2*T53)/100</f>
        <v>1.1</v>
      </c>
      <c r="S54" s="702" t="s">
        <v>1241</v>
      </c>
      <c r="T54" s="82">
        <f>4+ROUNDUP(T53/5,0)</f>
        <v>8</v>
      </c>
      <c r="U54" s="314"/>
    </row>
    <row r="55" spans="2:21" ht="13.5">
      <c r="B55" s="1273" t="s">
        <v>964</v>
      </c>
      <c r="C55" s="1274"/>
      <c r="D55" s="1275"/>
      <c r="E55" s="1275"/>
      <c r="F55" s="1275"/>
      <c r="G55" s="1275"/>
      <c r="H55" s="1275"/>
      <c r="I55" s="1275"/>
      <c r="J55" s="1275"/>
      <c r="K55" s="1275"/>
      <c r="L55" s="1277"/>
      <c r="O55" s="10" t="s">
        <v>551</v>
      </c>
      <c r="P55" s="11"/>
      <c r="Q55" s="703">
        <f>MIN(INT(P4*R54),ReadMe!$M$99)</f>
        <v>11478</v>
      </c>
      <c r="R55" s="308" t="s">
        <v>1243</v>
      </c>
      <c r="S55" s="3"/>
      <c r="T55" s="662">
        <f>Q55*T54</f>
        <v>91824</v>
      </c>
      <c r="U55" s="314"/>
    </row>
    <row r="56" spans="2:21" ht="14.25" thickBot="1">
      <c r="B56" s="1387" t="s">
        <v>1105</v>
      </c>
      <c r="C56" s="1533"/>
      <c r="D56" s="1388"/>
      <c r="E56" s="1388"/>
      <c r="F56" s="1388"/>
      <c r="G56" s="1388"/>
      <c r="H56" s="1388"/>
      <c r="I56" s="1388"/>
      <c r="J56" s="1388"/>
      <c r="K56" s="1388"/>
      <c r="L56" s="1389"/>
      <c r="O56" s="14" t="s">
        <v>1244</v>
      </c>
      <c r="P56" s="15"/>
      <c r="Q56" s="663">
        <f>MIN(INT(Q55*1.5),ReadMe!$M$99)</f>
        <v>17217</v>
      </c>
      <c r="R56" s="53" t="s">
        <v>1243</v>
      </c>
      <c r="S56" s="15"/>
      <c r="T56" s="663">
        <f>Q56*T54</f>
        <v>137736</v>
      </c>
      <c r="U56" s="314"/>
    </row>
    <row r="57" spans="2:21" ht="13.5">
      <c r="B57" s="1387" t="s">
        <v>1149</v>
      </c>
      <c r="C57" s="1533"/>
      <c r="D57" s="1388"/>
      <c r="E57" s="1388"/>
      <c r="F57" s="1388"/>
      <c r="G57" s="1388"/>
      <c r="H57" s="1388"/>
      <c r="I57" s="1388"/>
      <c r="J57" s="1388"/>
      <c r="K57" s="1388"/>
      <c r="L57" s="1389"/>
      <c r="O57" s="1227" t="s">
        <v>304</v>
      </c>
      <c r="P57" s="76" t="s">
        <v>257</v>
      </c>
      <c r="Q57" s="521">
        <f>MIN(INT(($R$4*R54)*($A$26+$K$35+$B$34+$E$34+$B$52)*(1+$A$18)),ReadMe!$M$99)</f>
        <v>7721</v>
      </c>
      <c r="R57" s="1234" t="s">
        <v>1358</v>
      </c>
      <c r="S57" s="649" t="s">
        <v>257</v>
      </c>
      <c r="T57" s="613">
        <f>MIN(INT(Q57*$E$41),ReadMe!$M$99)</f>
        <v>10037</v>
      </c>
      <c r="U57" s="314"/>
    </row>
    <row r="58" spans="2:21" ht="13.5">
      <c r="B58" s="1387" t="s">
        <v>1137</v>
      </c>
      <c r="C58" s="1533"/>
      <c r="D58" s="1388"/>
      <c r="E58" s="1388"/>
      <c r="F58" s="1388"/>
      <c r="G58" s="1388"/>
      <c r="H58" s="1388"/>
      <c r="I58" s="1388"/>
      <c r="J58" s="1388"/>
      <c r="K58" s="1388"/>
      <c r="L58" s="1389"/>
      <c r="O58" s="1228"/>
      <c r="P58" s="43" t="s">
        <v>258</v>
      </c>
      <c r="Q58" s="522">
        <f>INT((Q57+Q59)/2)</f>
        <v>9800</v>
      </c>
      <c r="R58" s="1235"/>
      <c r="S58" s="79" t="s">
        <v>258</v>
      </c>
      <c r="T58" s="156">
        <f>MIN(INT(Q58*(($E$41+$F$41)/2)),ReadMe!$M$99)</f>
        <v>13720</v>
      </c>
      <c r="U58" s="314"/>
    </row>
    <row r="59" spans="2:21" ht="14.25" thickBot="1">
      <c r="B59" s="1748" t="s">
        <v>1150</v>
      </c>
      <c r="C59" s="1749"/>
      <c r="D59" s="1749"/>
      <c r="E59" s="1749"/>
      <c r="F59" s="1749"/>
      <c r="G59" s="1749"/>
      <c r="H59" s="1749"/>
      <c r="I59" s="1749"/>
      <c r="J59" s="1749"/>
      <c r="K59" s="1749"/>
      <c r="L59" s="1750"/>
      <c r="O59" s="1229"/>
      <c r="P59" s="15" t="s">
        <v>259</v>
      </c>
      <c r="Q59" s="523">
        <f>MIN(INT(($T$4*R54)*($A$26+$K$35+$B$34+$E$34+$B$52)*(1+$A$18)),ReadMe!$M$99)</f>
        <v>11879</v>
      </c>
      <c r="R59" s="1236"/>
      <c r="S59" s="86" t="s">
        <v>259</v>
      </c>
      <c r="T59" s="157">
        <f>MIN(INT(Q59*$F$41),ReadMe!$M$99)</f>
        <v>17818</v>
      </c>
      <c r="U59" s="314"/>
    </row>
    <row r="60" spans="2:21" ht="14.25" thickBot="1">
      <c r="B60" s="1472" t="s">
        <v>1151</v>
      </c>
      <c r="C60" s="1473"/>
      <c r="D60" s="1473"/>
      <c r="E60" s="1473"/>
      <c r="F60" s="1473"/>
      <c r="G60" s="1473"/>
      <c r="H60" s="1473"/>
      <c r="I60" s="1473"/>
      <c r="J60" s="1473"/>
      <c r="K60" s="1473"/>
      <c r="L60" s="1474"/>
      <c r="O60" s="1434" t="s">
        <v>323</v>
      </c>
      <c r="P60" s="1435"/>
      <c r="Q60" s="1435"/>
      <c r="R60" s="1756">
        <f>INT(Q58*(1-$G$41)+T58*$G$41)</f>
        <v>10780</v>
      </c>
      <c r="S60" s="1178"/>
      <c r="T60" s="1179"/>
      <c r="U60" s="314"/>
    </row>
    <row r="61" spans="15:21" ht="13.5">
      <c r="O61" s="1485" t="s">
        <v>967</v>
      </c>
      <c r="P61" s="88" t="s">
        <v>257</v>
      </c>
      <c r="Q61" s="628">
        <f>MIN(INT(Q57*1.5),ReadMe!$M$99)</f>
        <v>11581</v>
      </c>
      <c r="R61" s="1448" t="s">
        <v>1358</v>
      </c>
      <c r="S61" s="78" t="s">
        <v>257</v>
      </c>
      <c r="T61" s="629">
        <f>MIN(INT(Q61*$E$41),ReadMe!$M$99)</f>
        <v>15055</v>
      </c>
      <c r="U61" s="314"/>
    </row>
    <row r="62" spans="15:20" ht="13.5">
      <c r="O62" s="1228"/>
      <c r="P62" s="43" t="s">
        <v>258</v>
      </c>
      <c r="Q62" s="522">
        <f>MIN(INT(Q58*1.5),ReadMe!$M$99)</f>
        <v>14700</v>
      </c>
      <c r="R62" s="1448"/>
      <c r="S62" s="79" t="s">
        <v>258</v>
      </c>
      <c r="T62" s="156">
        <f>MIN(INT(Q62*(($E$41+$F$41)/2)),ReadMe!$M$99)</f>
        <v>20580</v>
      </c>
    </row>
    <row r="63" spans="15:20" ht="14.25" thickBot="1">
      <c r="O63" s="1229"/>
      <c r="P63" s="15" t="s">
        <v>259</v>
      </c>
      <c r="Q63" s="523">
        <f>MIN(INT(Q59*1.5),ReadMe!$M$99)</f>
        <v>17818</v>
      </c>
      <c r="R63" s="80" t="s">
        <v>309</v>
      </c>
      <c r="S63" s="86" t="s">
        <v>259</v>
      </c>
      <c r="T63" s="520">
        <f>MIN(INT(Q63*$F$41),ReadMe!$M$99)</f>
        <v>26727</v>
      </c>
    </row>
    <row r="64" spans="15:20" ht="14.25" thickBot="1">
      <c r="O64" s="1434" t="s">
        <v>323</v>
      </c>
      <c r="P64" s="1435"/>
      <c r="Q64" s="1435"/>
      <c r="R64" s="1462">
        <f>INT(Q62*(1-$G$41)+T62*$G$41)</f>
        <v>16170</v>
      </c>
      <c r="S64" s="1463"/>
      <c r="T64" s="1464"/>
    </row>
    <row r="65" ht="14.25" thickBot="1"/>
    <row r="66" spans="15:20" ht="14.25" thickBot="1">
      <c r="O66" s="1405" t="s">
        <v>1368</v>
      </c>
      <c r="P66" s="1406"/>
      <c r="Q66" s="96"/>
      <c r="R66" s="1405" t="s">
        <v>1369</v>
      </c>
      <c r="S66" s="1406"/>
      <c r="T66" s="96"/>
    </row>
    <row r="67" spans="15:20" ht="13.5">
      <c r="O67" s="222" t="s">
        <v>574</v>
      </c>
      <c r="P67" s="271">
        <f>D11</f>
        <v>15</v>
      </c>
      <c r="R67" s="222" t="s">
        <v>574</v>
      </c>
      <c r="S67" s="271">
        <f>D10</f>
        <v>1</v>
      </c>
      <c r="T67" s="21"/>
    </row>
    <row r="68" spans="15:20" ht="14.25" thickBot="1">
      <c r="O68" s="213" t="s">
        <v>301</v>
      </c>
      <c r="P68" s="614">
        <f>(400+10*P67)/100</f>
        <v>5.5</v>
      </c>
      <c r="R68" s="212" t="s">
        <v>301</v>
      </c>
      <c r="S68" s="408">
        <f>IF(S67=0,300,(350+5*S67))/100</f>
        <v>3.55</v>
      </c>
      <c r="T68" s="269"/>
    </row>
    <row r="69" spans="14:20" ht="14.25" thickBot="1">
      <c r="N69" s="314"/>
      <c r="O69" s="268" t="s">
        <v>257</v>
      </c>
      <c r="P69" s="275">
        <f>INT(P71*0.65)</f>
        <v>33693</v>
      </c>
      <c r="R69" s="276" t="s">
        <v>872</v>
      </c>
      <c r="S69" s="277">
        <f>IF(S67=0,30,35+5*INT(S67/10))</f>
        <v>35</v>
      </c>
      <c r="T69" s="270"/>
    </row>
    <row r="70" spans="15:20" ht="13.5">
      <c r="O70" s="272" t="s">
        <v>258</v>
      </c>
      <c r="P70" s="273">
        <f>INT((P71+P69)/2)</f>
        <v>42764</v>
      </c>
      <c r="R70" s="268" t="s">
        <v>257</v>
      </c>
      <c r="S70" s="275">
        <f>INT(S72*0.65)</f>
        <v>21747</v>
      </c>
      <c r="T70" s="269"/>
    </row>
    <row r="71" spans="15:19" ht="14.25" thickBot="1">
      <c r="O71" s="274" t="s">
        <v>259</v>
      </c>
      <c r="P71" s="143">
        <f>INT($P$5*P68)</f>
        <v>51836</v>
      </c>
      <c r="R71" s="272" t="s">
        <v>258</v>
      </c>
      <c r="S71" s="273">
        <f>INT((S72+S70)/2)</f>
        <v>27602</v>
      </c>
    </row>
    <row r="72" spans="18:19" ht="14.25" thickBot="1">
      <c r="R72" s="274" t="s">
        <v>259</v>
      </c>
      <c r="S72" s="143">
        <f>INT($P$5*S68)</f>
        <v>33458</v>
      </c>
    </row>
    <row r="73" spans="15:20" ht="13.5">
      <c r="O73" s="314"/>
      <c r="P73" s="314"/>
      <c r="Q73" s="314"/>
      <c r="R73" s="1754" t="s">
        <v>1103</v>
      </c>
      <c r="S73" s="1755"/>
      <c r="T73" s="314"/>
    </row>
    <row r="74" spans="15:20" ht="14.25" thickBot="1">
      <c r="O74" s="117"/>
      <c r="P74" s="314"/>
      <c r="Q74" s="314"/>
      <c r="R74" s="226" t="s">
        <v>1370</v>
      </c>
      <c r="S74" s="315">
        <f>INT(S71*(S69/IF(S67&gt;=1,1.5,3)))</f>
        <v>644046</v>
      </c>
      <c r="T74" s="289"/>
    </row>
    <row r="75" ht="14.25" thickBot="1"/>
    <row r="76" spans="15:20" ht="14.25" thickBot="1">
      <c r="O76" s="1237" t="s">
        <v>1405</v>
      </c>
      <c r="P76" s="1238"/>
      <c r="Q76" s="1238"/>
      <c r="R76" s="1239"/>
      <c r="S76" s="465" t="s">
        <v>310</v>
      </c>
      <c r="T76" s="462">
        <v>0.6</v>
      </c>
    </row>
    <row r="77" spans="15:20" ht="14.25" thickBot="1">
      <c r="O77" s="1342" t="s">
        <v>1406</v>
      </c>
      <c r="P77" s="1343"/>
      <c r="Q77" s="463">
        <v>1</v>
      </c>
      <c r="R77" s="1181" t="s">
        <v>1334</v>
      </c>
      <c r="S77" s="1182"/>
      <c r="T77" s="313">
        <v>1</v>
      </c>
    </row>
    <row r="78" spans="15:20" ht="13.5">
      <c r="O78" s="1227" t="s">
        <v>304</v>
      </c>
      <c r="P78" s="76" t="s">
        <v>257</v>
      </c>
      <c r="Q78" s="521">
        <f>MIN(INT(($R$4*Q77)*($A$26+$K$35+$B$34+$E$34+$B$52)*(1+$A$18)),ReadMe!$M$99)</f>
        <v>7019</v>
      </c>
      <c r="R78" s="1234" t="s">
        <v>1358</v>
      </c>
      <c r="S78" s="649" t="s">
        <v>257</v>
      </c>
      <c r="T78" s="613">
        <f>MIN(INT(Q78*$E$41),ReadMe!$M$99)</f>
        <v>9124</v>
      </c>
    </row>
    <row r="79" spans="15:20" ht="13.5">
      <c r="O79" s="1228"/>
      <c r="P79" s="43" t="s">
        <v>258</v>
      </c>
      <c r="Q79" s="522">
        <f>INT((Q78+Q80)/2)</f>
        <v>8909</v>
      </c>
      <c r="R79" s="1235"/>
      <c r="S79" s="79" t="s">
        <v>258</v>
      </c>
      <c r="T79" s="156">
        <f>MIN(INT(Q79*(($E$41+$F$41)/2)),ReadMe!$M$99)</f>
        <v>12472</v>
      </c>
    </row>
    <row r="80" spans="15:20" ht="14.25" thickBot="1">
      <c r="O80" s="1229"/>
      <c r="P80" s="15" t="s">
        <v>259</v>
      </c>
      <c r="Q80" s="523">
        <f>MIN(INT(($T$4*Q77)*($A$26+$K$35+$B$34+$E$34+$B$52)*(1+$A$18)),ReadMe!$M$99)</f>
        <v>10799</v>
      </c>
      <c r="R80" s="1236"/>
      <c r="S80" s="86" t="s">
        <v>259</v>
      </c>
      <c r="T80" s="157">
        <f>MIN(INT(Q80*$F$41),ReadMe!$M$99)</f>
        <v>16198</v>
      </c>
    </row>
    <row r="81" spans="15:20" ht="14.25" thickBot="1">
      <c r="O81" s="1434" t="s">
        <v>323</v>
      </c>
      <c r="P81" s="1435"/>
      <c r="Q81" s="1435"/>
      <c r="R81" s="1756">
        <f>INT(Q79*(1-$G$41)+T79*$G$41)</f>
        <v>9799</v>
      </c>
      <c r="S81" s="1178"/>
      <c r="T81" s="1179"/>
    </row>
    <row r="82" spans="15:20" ht="14.25" thickBot="1">
      <c r="O82" s="1302" t="s">
        <v>726</v>
      </c>
      <c r="P82" s="1303"/>
      <c r="Q82" s="1304"/>
      <c r="R82" s="1186">
        <f>R81*T77</f>
        <v>9799</v>
      </c>
      <c r="S82" s="1178"/>
      <c r="T82" s="1179"/>
    </row>
  </sheetData>
  <sheetProtection/>
  <protectedRanges>
    <protectedRange sqref="D45:D46 D48" name="範囲1_1_1"/>
  </protectedRanges>
  <mergeCells count="153">
    <mergeCell ref="S16:T16"/>
    <mergeCell ref="R33:T33"/>
    <mergeCell ref="R26:T26"/>
    <mergeCell ref="R25:T25"/>
    <mergeCell ref="R18:T18"/>
    <mergeCell ref="O20:R20"/>
    <mergeCell ref="O33:Q33"/>
    <mergeCell ref="S17:T17"/>
    <mergeCell ref="B2:C2"/>
    <mergeCell ref="B26:C26"/>
    <mergeCell ref="B27:C27"/>
    <mergeCell ref="B4:D4"/>
    <mergeCell ref="B16:C16"/>
    <mergeCell ref="D14:D15"/>
    <mergeCell ref="E34:F34"/>
    <mergeCell ref="B36:D36"/>
    <mergeCell ref="B38:C38"/>
    <mergeCell ref="B37:D37"/>
    <mergeCell ref="R82:T82"/>
    <mergeCell ref="O78:O80"/>
    <mergeCell ref="O81:Q81"/>
    <mergeCell ref="R81:T81"/>
    <mergeCell ref="O82:Q82"/>
    <mergeCell ref="R78:R80"/>
    <mergeCell ref="AB44:AC44"/>
    <mergeCell ref="AB32:AC32"/>
    <mergeCell ref="AB16:AC16"/>
    <mergeCell ref="AB17:AC17"/>
    <mergeCell ref="AB18:AC18"/>
    <mergeCell ref="AB43:AC43"/>
    <mergeCell ref="AB41:AC41"/>
    <mergeCell ref="AB42:AC42"/>
    <mergeCell ref="AB15:AC15"/>
    <mergeCell ref="AB24:AC24"/>
    <mergeCell ref="AB23:AC23"/>
    <mergeCell ref="Y33:Z33"/>
    <mergeCell ref="Y17:Z17"/>
    <mergeCell ref="Y18:Z18"/>
    <mergeCell ref="AB25:AC25"/>
    <mergeCell ref="AB26:AC26"/>
    <mergeCell ref="Y34:Z34"/>
    <mergeCell ref="V34:W34"/>
    <mergeCell ref="AB31:AC31"/>
    <mergeCell ref="AB33:AC33"/>
    <mergeCell ref="AB34:AC34"/>
    <mergeCell ref="V33:W33"/>
    <mergeCell ref="Y42:Z42"/>
    <mergeCell ref="Y44:Z44"/>
    <mergeCell ref="Y43:Z43"/>
    <mergeCell ref="V42:W42"/>
    <mergeCell ref="V43:W43"/>
    <mergeCell ref="V44:W44"/>
    <mergeCell ref="V16:W16"/>
    <mergeCell ref="Y32:Z32"/>
    <mergeCell ref="V32:W32"/>
    <mergeCell ref="Y16:Z16"/>
    <mergeCell ref="V24:W24"/>
    <mergeCell ref="Y24:Z24"/>
    <mergeCell ref="V17:W17"/>
    <mergeCell ref="V18:W18"/>
    <mergeCell ref="V26:W26"/>
    <mergeCell ref="Y26:Z26"/>
    <mergeCell ref="I45:K45"/>
    <mergeCell ref="B42:D42"/>
    <mergeCell ref="O36:T36"/>
    <mergeCell ref="O41:Q43"/>
    <mergeCell ref="S42:T42"/>
    <mergeCell ref="R38:R40"/>
    <mergeCell ref="B39:C39"/>
    <mergeCell ref="B40:D40"/>
    <mergeCell ref="O44:Q44"/>
    <mergeCell ref="R44:T44"/>
    <mergeCell ref="B59:L59"/>
    <mergeCell ref="B50:D50"/>
    <mergeCell ref="R34:T34"/>
    <mergeCell ref="B45:C45"/>
    <mergeCell ref="E45:F45"/>
    <mergeCell ref="I43:J43"/>
    <mergeCell ref="I37:K37"/>
    <mergeCell ref="E42:G42"/>
    <mergeCell ref="B41:D41"/>
    <mergeCell ref="I41:J41"/>
    <mergeCell ref="B55:L55"/>
    <mergeCell ref="B56:L56"/>
    <mergeCell ref="B51:D51"/>
    <mergeCell ref="B57:L57"/>
    <mergeCell ref="B52:D52"/>
    <mergeCell ref="B54:L54"/>
    <mergeCell ref="O66:P66"/>
    <mergeCell ref="O48:O50"/>
    <mergeCell ref="O51:Q51"/>
    <mergeCell ref="R66:S66"/>
    <mergeCell ref="R51:T51"/>
    <mergeCell ref="O60:Q60"/>
    <mergeCell ref="R60:T60"/>
    <mergeCell ref="O57:O59"/>
    <mergeCell ref="R57:R59"/>
    <mergeCell ref="R48:R50"/>
    <mergeCell ref="O76:R76"/>
    <mergeCell ref="O77:P77"/>
    <mergeCell ref="R77:S77"/>
    <mergeCell ref="R73:S73"/>
    <mergeCell ref="F1:P1"/>
    <mergeCell ref="N2:P2"/>
    <mergeCell ref="R2:T2"/>
    <mergeCell ref="O28:T28"/>
    <mergeCell ref="O22:O24"/>
    <mergeCell ref="R22:R24"/>
    <mergeCell ref="R12:R14"/>
    <mergeCell ref="O15:Q17"/>
    <mergeCell ref="S15:T15"/>
    <mergeCell ref="O26:Q26"/>
    <mergeCell ref="O34:Q34"/>
    <mergeCell ref="R30:R32"/>
    <mergeCell ref="O30:O32"/>
    <mergeCell ref="O18:Q18"/>
    <mergeCell ref="O25:Q25"/>
    <mergeCell ref="E32:F32"/>
    <mergeCell ref="B33:D33"/>
    <mergeCell ref="N6:R6"/>
    <mergeCell ref="O10:R10"/>
    <mergeCell ref="O12:O14"/>
    <mergeCell ref="E33:F33"/>
    <mergeCell ref="E31:F31"/>
    <mergeCell ref="B32:D32"/>
    <mergeCell ref="S43:T43"/>
    <mergeCell ref="O38:O40"/>
    <mergeCell ref="S41:T41"/>
    <mergeCell ref="I38:K38"/>
    <mergeCell ref="I50:J50"/>
    <mergeCell ref="I34:K34"/>
    <mergeCell ref="R64:T64"/>
    <mergeCell ref="O53:R53"/>
    <mergeCell ref="O61:O63"/>
    <mergeCell ref="R61:R62"/>
    <mergeCell ref="O64:Q64"/>
    <mergeCell ref="I52:J52"/>
    <mergeCell ref="B58:L58"/>
    <mergeCell ref="I51:J51"/>
    <mergeCell ref="B47:C47"/>
    <mergeCell ref="E47:F47"/>
    <mergeCell ref="E48:F48"/>
    <mergeCell ref="B48:C48"/>
    <mergeCell ref="B60:L60"/>
    <mergeCell ref="I49:K49"/>
    <mergeCell ref="V25:W25"/>
    <mergeCell ref="Y25:Z25"/>
    <mergeCell ref="B46:C46"/>
    <mergeCell ref="E46:F46"/>
    <mergeCell ref="O46:T46"/>
    <mergeCell ref="B30:K30"/>
    <mergeCell ref="B34:D34"/>
    <mergeCell ref="B31:D31"/>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4.xml><?xml version="1.0" encoding="utf-8"?>
<worksheet xmlns="http://schemas.openxmlformats.org/spreadsheetml/2006/main" xmlns:r="http://schemas.openxmlformats.org/officeDocument/2006/relationships">
  <dimension ref="A1:AC67"/>
  <sheetViews>
    <sheetView workbookViewId="0" topLeftCell="A1">
      <selection activeCell="D14" sqref="D14"/>
    </sheetView>
  </sheetViews>
  <sheetFormatPr defaultColWidth="9.00390625" defaultRowHeight="13.5"/>
  <cols>
    <col min="1" max="1" width="2.625" style="0" customWidth="1"/>
    <col min="2" max="11" width="5.625" style="0" customWidth="1"/>
    <col min="12" max="13" width="2.625" style="0" customWidth="1"/>
    <col min="20" max="20" width="9.50390625" style="0" bestFit="1" customWidth="1"/>
  </cols>
  <sheetData>
    <row r="1" spans="6:16" ht="24.75" thickBot="1">
      <c r="F1" s="1223" t="s">
        <v>72</v>
      </c>
      <c r="G1" s="1223"/>
      <c r="H1" s="1223"/>
      <c r="I1" s="1223"/>
      <c r="J1" s="1223"/>
      <c r="K1" s="1223"/>
      <c r="L1" s="1223"/>
      <c r="M1" s="1223"/>
      <c r="N1" s="1223"/>
      <c r="O1" s="1223"/>
      <c r="P1" s="1223"/>
    </row>
    <row r="2" spans="2:20" ht="14.25" thickBot="1">
      <c r="B2" s="1153" t="s">
        <v>238</v>
      </c>
      <c r="C2" s="1154"/>
      <c r="D2" s="2">
        <v>150</v>
      </c>
      <c r="E2" s="1"/>
      <c r="F2" s="3" t="s">
        <v>325</v>
      </c>
      <c r="G2" s="3" t="s">
        <v>57</v>
      </c>
      <c r="H2" s="3" t="s">
        <v>58</v>
      </c>
      <c r="I2" s="3" t="s">
        <v>67</v>
      </c>
      <c r="J2" s="3" t="s">
        <v>66</v>
      </c>
      <c r="K2" s="25" t="s">
        <v>749</v>
      </c>
      <c r="N2" s="1224" t="s">
        <v>301</v>
      </c>
      <c r="O2" s="1225"/>
      <c r="P2" s="1226"/>
      <c r="R2" s="1149" t="s">
        <v>737</v>
      </c>
      <c r="S2" s="1144"/>
      <c r="T2" s="1140"/>
    </row>
    <row r="3" spans="2:20" ht="14.25" thickBot="1">
      <c r="B3" s="5" t="s">
        <v>241</v>
      </c>
      <c r="C3" s="536"/>
      <c r="D3" s="6">
        <f>((D2-1)*5+IF(D2&gt;=120,35,IF(D2&gt;=70,30,25)))-(G3+H3+J3+I3)</f>
        <v>0</v>
      </c>
      <c r="E3" s="7" t="s">
        <v>242</v>
      </c>
      <c r="F3" s="8"/>
      <c r="G3" s="8">
        <v>762</v>
      </c>
      <c r="H3" s="8">
        <v>10</v>
      </c>
      <c r="I3" s="8">
        <v>4</v>
      </c>
      <c r="J3" s="8">
        <v>4</v>
      </c>
      <c r="K3" s="9"/>
      <c r="N3" s="10" t="s">
        <v>270</v>
      </c>
      <c r="O3" s="11" t="s">
        <v>271</v>
      </c>
      <c r="P3" s="12" t="s">
        <v>272</v>
      </c>
      <c r="R3" s="1" t="s">
        <v>270</v>
      </c>
      <c r="S3" s="3" t="s">
        <v>271</v>
      </c>
      <c r="T3" s="4" t="s">
        <v>272</v>
      </c>
    </row>
    <row r="4" spans="2:20" ht="14.25" thickBot="1">
      <c r="B4" s="1342" t="s">
        <v>73</v>
      </c>
      <c r="C4" s="1420"/>
      <c r="D4" s="1420"/>
      <c r="E4" s="7" t="s">
        <v>243</v>
      </c>
      <c r="F4" s="8">
        <v>117</v>
      </c>
      <c r="G4" s="8">
        <v>12</v>
      </c>
      <c r="H4" s="8"/>
      <c r="I4" s="8"/>
      <c r="J4" s="8"/>
      <c r="K4" s="9"/>
      <c r="N4" s="14">
        <f>P4*D25</f>
        <v>15353.377199999997</v>
      </c>
      <c r="O4" s="15">
        <f>(P4+N4)/2</f>
        <v>16206.342599999996</v>
      </c>
      <c r="P4" s="16">
        <f>$Q$4*($F$29+INT(($F$29*(Q6+$E$32+$K$52+$K$43-2))))/100</f>
        <v>17059.307999999997</v>
      </c>
      <c r="Q4" s="402">
        <f>1.49*(4*$G$29+$H$29)</f>
        <v>5882.5199999999995</v>
      </c>
      <c r="R4" s="14">
        <f>N4*$G$48*(1-$G$45/100)</f>
        <v>12282.701759999998</v>
      </c>
      <c r="S4" s="15">
        <f>O4*$G$48*(1-$G$45/100)</f>
        <v>12965.074079999999</v>
      </c>
      <c r="T4" s="16">
        <f>P4*$G$48*(1-$G$45/100)</f>
        <v>13647.446399999999</v>
      </c>
    </row>
    <row r="5" spans="1:21" ht="14.25" customHeight="1" thickBot="1">
      <c r="A5" s="402">
        <f>MAX(D5-K39,5)</f>
        <v>6</v>
      </c>
      <c r="B5" s="163" t="s">
        <v>244</v>
      </c>
      <c r="C5" s="397"/>
      <c r="D5" s="164">
        <v>6</v>
      </c>
      <c r="E5" s="7" t="s">
        <v>245</v>
      </c>
      <c r="F5" s="8"/>
      <c r="G5" s="8"/>
      <c r="H5" s="8"/>
      <c r="I5" s="8"/>
      <c r="J5" s="8"/>
      <c r="K5" s="9"/>
      <c r="O5" s="397"/>
      <c r="P5" s="397"/>
      <c r="Q5" s="21"/>
      <c r="R5" s="21"/>
      <c r="S5" s="21"/>
      <c r="T5" s="21"/>
      <c r="U5" s="21"/>
    </row>
    <row r="6" spans="2:28" ht="14.25" customHeight="1" thickBot="1">
      <c r="B6" s="570" t="s">
        <v>1067</v>
      </c>
      <c r="C6" s="1000"/>
      <c r="D6" s="137">
        <v>30</v>
      </c>
      <c r="E6" s="42" t="s">
        <v>246</v>
      </c>
      <c r="F6" s="8"/>
      <c r="G6" s="8">
        <v>10</v>
      </c>
      <c r="H6" s="8">
        <v>16</v>
      </c>
      <c r="I6" s="8">
        <v>10</v>
      </c>
      <c r="J6" s="8">
        <v>10</v>
      </c>
      <c r="K6" s="9">
        <v>22</v>
      </c>
      <c r="N6" s="1773" t="s">
        <v>102</v>
      </c>
      <c r="O6" s="1774"/>
      <c r="P6" s="1775"/>
      <c r="Q6" s="415">
        <v>1.35</v>
      </c>
      <c r="R6" s="1343" t="str">
        <f>IF(A23="TRUE","弱点の相手","弱点ではない相手")</f>
        <v>弱点の相手</v>
      </c>
      <c r="S6" s="1623"/>
      <c r="T6" s="1305" t="str">
        <f>IF(A23="TRUE","弱点補正","弱点補正なし")</f>
        <v>弱点補正</v>
      </c>
      <c r="U6" s="1306"/>
      <c r="V6" s="75">
        <f>IF(A23="TRUE",1.5,1)</f>
        <v>1.5</v>
      </c>
      <c r="X6" s="414"/>
      <c r="Y6" s="414"/>
      <c r="Z6" s="414"/>
      <c r="AA6" s="414"/>
      <c r="AB6" s="414"/>
    </row>
    <row r="7" spans="2:29" ht="14.25" customHeight="1" thickBot="1">
      <c r="B7" s="571" t="s">
        <v>993</v>
      </c>
      <c r="C7" s="998"/>
      <c r="D7" s="232">
        <v>1</v>
      </c>
      <c r="E7" s="42" t="s">
        <v>247</v>
      </c>
      <c r="F7" s="8">
        <v>5</v>
      </c>
      <c r="G7" s="8"/>
      <c r="H7" s="8"/>
      <c r="I7" s="8"/>
      <c r="J7" s="8"/>
      <c r="K7" s="9"/>
      <c r="N7" s="195"/>
      <c r="W7" s="414"/>
      <c r="X7" s="414"/>
      <c r="Y7" s="414"/>
      <c r="Z7" s="414"/>
      <c r="AA7" s="414"/>
      <c r="AB7" s="399"/>
      <c r="AC7" s="399"/>
    </row>
    <row r="8" spans="2:21" ht="14.25" customHeight="1" thickBot="1">
      <c r="B8" s="7" t="s">
        <v>786</v>
      </c>
      <c r="C8" s="43"/>
      <c r="D8" s="9">
        <v>1</v>
      </c>
      <c r="E8" s="42" t="s">
        <v>248</v>
      </c>
      <c r="F8" s="8">
        <v>2</v>
      </c>
      <c r="G8" s="8"/>
      <c r="H8" s="8">
        <v>2</v>
      </c>
      <c r="I8" s="8"/>
      <c r="J8" s="8"/>
      <c r="K8" s="9">
        <v>7</v>
      </c>
      <c r="N8" s="1158" t="s">
        <v>75</v>
      </c>
      <c r="O8" s="1776"/>
      <c r="P8" s="1776"/>
      <c r="Q8" s="1776"/>
      <c r="R8" s="17" t="s">
        <v>252</v>
      </c>
      <c r="S8" s="75">
        <v>1</v>
      </c>
      <c r="T8" s="411"/>
      <c r="U8" s="409"/>
    </row>
    <row r="9" spans="2:21" ht="13.5" customHeight="1">
      <c r="B9" s="39" t="s">
        <v>783</v>
      </c>
      <c r="C9" s="40"/>
      <c r="D9" s="9">
        <v>1</v>
      </c>
      <c r="E9" s="42" t="s">
        <v>249</v>
      </c>
      <c r="F9" s="8"/>
      <c r="G9" s="8">
        <v>7</v>
      </c>
      <c r="H9" s="8">
        <v>7</v>
      </c>
      <c r="I9" s="8">
        <v>7</v>
      </c>
      <c r="J9" s="8">
        <v>7</v>
      </c>
      <c r="K9" s="9"/>
      <c r="N9" s="1227" t="s">
        <v>304</v>
      </c>
      <c r="O9" s="76" t="s">
        <v>257</v>
      </c>
      <c r="P9" s="521">
        <f>MIN(INT(($R$4*S8)*(1+$B$34+$E$34+$B$52+$K$35)*$V$6),ReadMe!$M$99)</f>
        <v>18424</v>
      </c>
      <c r="Q9" s="1234" t="s">
        <v>725</v>
      </c>
      <c r="R9" s="186" t="s">
        <v>257</v>
      </c>
      <c r="S9" s="155">
        <f>MIN(INT(P9*$E$41),ReadMe!$M$99)</f>
        <v>24872</v>
      </c>
      <c r="T9" s="1221" t="s">
        <v>335</v>
      </c>
      <c r="U9" s="1556">
        <f>INT(P10*(1-$G$41)+S10*$G$41)</f>
        <v>23992</v>
      </c>
    </row>
    <row r="10" spans="2:21" ht="14.25" customHeight="1">
      <c r="B10" s="1001" t="s">
        <v>784</v>
      </c>
      <c r="C10" s="999"/>
      <c r="D10" s="1002">
        <v>20</v>
      </c>
      <c r="E10" s="42" t="s">
        <v>250</v>
      </c>
      <c r="F10" s="8"/>
      <c r="G10" s="8"/>
      <c r="H10" s="8">
        <v>6</v>
      </c>
      <c r="I10" s="8"/>
      <c r="J10" s="8"/>
      <c r="K10" s="9"/>
      <c r="N10" s="1228"/>
      <c r="O10" s="43" t="s">
        <v>258</v>
      </c>
      <c r="P10" s="522">
        <f>INT((P9+P11)/2)</f>
        <v>19447</v>
      </c>
      <c r="Q10" s="1235"/>
      <c r="R10" s="79" t="s">
        <v>258</v>
      </c>
      <c r="S10" s="156">
        <f>MIN(INT(P10*(($E$41+$F$41)/2)),ReadMe!$M$99)</f>
        <v>27711</v>
      </c>
      <c r="T10" s="1401"/>
      <c r="U10" s="1557"/>
    </row>
    <row r="11" spans="2:21" ht="14.25" thickBot="1">
      <c r="B11" s="39" t="s">
        <v>100</v>
      </c>
      <c r="C11" s="40"/>
      <c r="D11" s="9">
        <v>20</v>
      </c>
      <c r="E11" s="42" t="s">
        <v>698</v>
      </c>
      <c r="F11" s="8"/>
      <c r="G11" s="8"/>
      <c r="H11" s="8"/>
      <c r="I11" s="8"/>
      <c r="J11" s="8"/>
      <c r="K11" s="9"/>
      <c r="N11" s="1229"/>
      <c r="O11" s="15" t="s">
        <v>259</v>
      </c>
      <c r="P11" s="523">
        <f>MIN(INT(($T$4*S8)*(1+$B$34+$E$34+$B$52+$K$35)*$V$6),ReadMe!$M$99)</f>
        <v>20471</v>
      </c>
      <c r="Q11" s="1409"/>
      <c r="R11" s="249" t="s">
        <v>259</v>
      </c>
      <c r="S11" s="251">
        <f>MIN(INT(P11*$F$41),ReadMe!$M$99)</f>
        <v>30706</v>
      </c>
      <c r="T11" s="1402"/>
      <c r="U11" s="1558"/>
    </row>
    <row r="12" spans="2:21" ht="14.25" thickBot="1">
      <c r="B12" s="53" t="s">
        <v>101</v>
      </c>
      <c r="C12" s="54"/>
      <c r="D12" s="228">
        <v>10</v>
      </c>
      <c r="E12" s="42" t="s">
        <v>587</v>
      </c>
      <c r="F12" s="8"/>
      <c r="G12" s="8">
        <v>20</v>
      </c>
      <c r="H12" s="8">
        <v>3</v>
      </c>
      <c r="I12" s="8"/>
      <c r="J12" s="8"/>
      <c r="K12" s="9">
        <v>5</v>
      </c>
      <c r="N12" s="1158" t="s">
        <v>76</v>
      </c>
      <c r="O12" s="1776"/>
      <c r="P12" s="1776"/>
      <c r="Q12" s="1786"/>
      <c r="R12" s="401" t="s">
        <v>252</v>
      </c>
      <c r="S12" s="75">
        <f>IF($D$6=0,205,240+4*$D$6)/100</f>
        <v>3.6</v>
      </c>
      <c r="T12" s="312"/>
      <c r="U12" s="200"/>
    </row>
    <row r="13" spans="2:21" ht="13.5">
      <c r="B13" s="1003"/>
      <c r="C13" s="1004"/>
      <c r="D13" s="458"/>
      <c r="E13" s="42" t="s">
        <v>697</v>
      </c>
      <c r="F13" s="8"/>
      <c r="G13" s="8">
        <v>14</v>
      </c>
      <c r="H13" s="8">
        <v>5</v>
      </c>
      <c r="I13" s="8"/>
      <c r="J13" s="8"/>
      <c r="K13" s="9">
        <v>5</v>
      </c>
      <c r="N13" s="1771" t="str">
        <f>IF($A$23="TRUE","弱点","通常")</f>
        <v>弱点</v>
      </c>
      <c r="O13" s="76" t="s">
        <v>257</v>
      </c>
      <c r="P13" s="521">
        <f>MIN(INT(($R$4*S12)*(1+$B$34+$E$34+$B$52+$K$35)*$V$6),ReadMe!$M$99)</f>
        <v>66326</v>
      </c>
      <c r="Q13" s="1447" t="s">
        <v>549</v>
      </c>
      <c r="R13" s="78" t="s">
        <v>257</v>
      </c>
      <c r="S13" s="155">
        <f>MIN(INT(P13*$E$41),ReadMe!$M$99)</f>
        <v>89540</v>
      </c>
      <c r="T13" s="398" t="s">
        <v>335</v>
      </c>
      <c r="U13" s="400">
        <f>INT(P14*(1-$G$41)+S14*$G$41)</f>
        <v>86375</v>
      </c>
    </row>
    <row r="14" spans="2:21" ht="13.5">
      <c r="B14" s="136"/>
      <c r="C14" s="57"/>
      <c r="D14" s="139"/>
      <c r="E14" s="42" t="s">
        <v>260</v>
      </c>
      <c r="F14" s="8"/>
      <c r="G14" s="8">
        <v>8</v>
      </c>
      <c r="H14" s="8">
        <v>13</v>
      </c>
      <c r="I14" s="8"/>
      <c r="J14" s="8"/>
      <c r="K14" s="9">
        <v>5</v>
      </c>
      <c r="N14" s="1772"/>
      <c r="O14" s="43" t="s">
        <v>258</v>
      </c>
      <c r="P14" s="522">
        <f>INT((P13+P15)/2)</f>
        <v>70011</v>
      </c>
      <c r="Q14" s="1448"/>
      <c r="R14" s="79" t="s">
        <v>258</v>
      </c>
      <c r="S14" s="156">
        <f>MIN(INT(P14*(($E$41+$F$41)/2)),ReadMe!$M$99)</f>
        <v>99765</v>
      </c>
      <c r="T14" s="1451" t="s">
        <v>726</v>
      </c>
      <c r="U14" s="1777">
        <f>U13*2</f>
        <v>172750</v>
      </c>
    </row>
    <row r="15" spans="2:21" ht="14.25" thickBot="1">
      <c r="B15" s="136"/>
      <c r="C15" s="57"/>
      <c r="D15" s="139"/>
      <c r="E15" s="42" t="s">
        <v>261</v>
      </c>
      <c r="F15" s="8">
        <v>15</v>
      </c>
      <c r="G15" s="8"/>
      <c r="H15" s="8"/>
      <c r="I15" s="8"/>
      <c r="J15" s="8"/>
      <c r="K15" s="9"/>
      <c r="N15" s="675" t="s">
        <v>309</v>
      </c>
      <c r="O15" s="15" t="s">
        <v>259</v>
      </c>
      <c r="P15" s="523">
        <f>MIN(INT(($T$4*S12)*(1+$B$34+$E$34+$B$52+$K$35)*$V$6),ReadMe!$M$99)</f>
        <v>73696</v>
      </c>
      <c r="Q15" s="80" t="s">
        <v>309</v>
      </c>
      <c r="R15" s="249" t="s">
        <v>259</v>
      </c>
      <c r="S15" s="251">
        <f>MIN(INT(P15*$F$41),ReadMe!$M$99)</f>
        <v>110544</v>
      </c>
      <c r="T15" s="1434"/>
      <c r="U15" s="1778"/>
    </row>
    <row r="16" spans="2:21" ht="14.25" thickBot="1">
      <c r="B16" s="22"/>
      <c r="C16" s="21"/>
      <c r="D16" s="138"/>
      <c r="E16" s="42" t="s">
        <v>262</v>
      </c>
      <c r="F16" s="8">
        <v>4</v>
      </c>
      <c r="G16" s="8">
        <v>8</v>
      </c>
      <c r="H16" s="8"/>
      <c r="I16" s="8"/>
      <c r="J16" s="8"/>
      <c r="K16" s="9"/>
      <c r="N16" s="1158" t="s">
        <v>77</v>
      </c>
      <c r="O16" s="1776"/>
      <c r="P16" s="1776"/>
      <c r="Q16" s="1786"/>
      <c r="R16" s="401" t="s">
        <v>252</v>
      </c>
      <c r="S16" s="75">
        <f>IF($D$6=0,540,300+5*$D$6)/100</f>
        <v>4.5</v>
      </c>
      <c r="T16" s="312"/>
      <c r="U16" s="200"/>
    </row>
    <row r="17" spans="2:21" ht="14.25" thickBot="1">
      <c r="B17" s="47"/>
      <c r="C17" s="491"/>
      <c r="D17" s="220"/>
      <c r="E17" s="42" t="s">
        <v>5</v>
      </c>
      <c r="F17" s="8"/>
      <c r="G17" s="8">
        <v>3</v>
      </c>
      <c r="H17" s="8">
        <v>3</v>
      </c>
      <c r="I17" s="8">
        <v>3</v>
      </c>
      <c r="J17" s="8">
        <v>3</v>
      </c>
      <c r="K17" s="9"/>
      <c r="N17" s="1771" t="str">
        <f>IF($A$23="TRUE","弱点","通常")</f>
        <v>弱点</v>
      </c>
      <c r="O17" s="76" t="s">
        <v>257</v>
      </c>
      <c r="P17" s="521">
        <f>MIN(INT(($R$4*S16)*(1+$B$34+$E$34+$B$52+$K$35)*$V$6),ReadMe!$M$99)</f>
        <v>82908</v>
      </c>
      <c r="Q17" s="1447" t="s">
        <v>549</v>
      </c>
      <c r="R17" s="78" t="s">
        <v>257</v>
      </c>
      <c r="S17" s="155">
        <f>MIN(INT(P17*$E$41),ReadMe!$M$99)</f>
        <v>111925</v>
      </c>
      <c r="T17" s="398" t="s">
        <v>335</v>
      </c>
      <c r="U17" s="400">
        <f>INT(P18*(1-$G$41)+S18*$G$41)</f>
        <v>107970</v>
      </c>
    </row>
    <row r="18" spans="2:21" ht="13.5">
      <c r="B18" s="1791" t="s">
        <v>97</v>
      </c>
      <c r="C18" s="1792"/>
      <c r="D18" s="1795">
        <v>100</v>
      </c>
      <c r="E18" s="7" t="s">
        <v>5</v>
      </c>
      <c r="F18" s="8">
        <v>1</v>
      </c>
      <c r="G18" s="8">
        <v>1</v>
      </c>
      <c r="H18" s="8">
        <v>1</v>
      </c>
      <c r="I18" s="8">
        <v>1</v>
      </c>
      <c r="J18" s="8">
        <v>1</v>
      </c>
      <c r="K18" s="9"/>
      <c r="N18" s="1772"/>
      <c r="O18" s="43" t="s">
        <v>258</v>
      </c>
      <c r="P18" s="522">
        <f>INT((P17+P19)/2)</f>
        <v>87514</v>
      </c>
      <c r="Q18" s="1448"/>
      <c r="R18" s="79" t="s">
        <v>258</v>
      </c>
      <c r="S18" s="156">
        <f>MIN(INT(P18*(($E$41+$F$41)/2)),ReadMe!$M$99)</f>
        <v>124707</v>
      </c>
      <c r="T18" s="1779" t="s">
        <v>726</v>
      </c>
      <c r="U18" s="1647">
        <f>IF(D6=0,"-",U17*2)</f>
        <v>215940</v>
      </c>
    </row>
    <row r="19" spans="2:21" ht="14.25" thickBot="1">
      <c r="B19" s="1793"/>
      <c r="C19" s="1794"/>
      <c r="D19" s="1796"/>
      <c r="E19" s="7" t="s">
        <v>5</v>
      </c>
      <c r="F19" s="8">
        <v>1</v>
      </c>
      <c r="G19" s="8">
        <v>1</v>
      </c>
      <c r="H19" s="8">
        <v>1</v>
      </c>
      <c r="I19" s="8">
        <v>1</v>
      </c>
      <c r="J19" s="8">
        <v>1</v>
      </c>
      <c r="K19" s="9"/>
      <c r="N19" s="675" t="s">
        <v>309</v>
      </c>
      <c r="O19" s="15" t="s">
        <v>259</v>
      </c>
      <c r="P19" s="523">
        <f>MIN(INT(($T$4*S16)*(1+$B$34+$E$34+$B$52+$K$35)*$V$6),ReadMe!$M$99)</f>
        <v>92120</v>
      </c>
      <c r="Q19" s="80" t="s">
        <v>309</v>
      </c>
      <c r="R19" s="249" t="s">
        <v>259</v>
      </c>
      <c r="S19" s="251">
        <f>MIN(INT(P19*$F$41),ReadMe!$M$99)</f>
        <v>138180</v>
      </c>
      <c r="T19" s="1451"/>
      <c r="U19" s="1780"/>
    </row>
    <row r="20" spans="2:21" ht="14.25" thickBot="1">
      <c r="B20" s="7" t="s">
        <v>98</v>
      </c>
      <c r="C20" s="549"/>
      <c r="D20" s="41">
        <f>IF(D18&gt;100,20,INT(D18/10)*2)</f>
        <v>20</v>
      </c>
      <c r="E20" s="7" t="s">
        <v>5</v>
      </c>
      <c r="F20" s="8"/>
      <c r="G20" s="8"/>
      <c r="H20" s="8"/>
      <c r="I20" s="8"/>
      <c r="J20" s="8"/>
      <c r="K20" s="9"/>
      <c r="N20" s="1153" t="s">
        <v>82</v>
      </c>
      <c r="O20" s="1133"/>
      <c r="P20" s="1133"/>
      <c r="Q20" s="1133"/>
      <c r="R20" s="1154"/>
      <c r="S20" s="165">
        <f>IF($A$5=5,44,IF($A$5=6,42,IF($A$5=7,40,IF($A$5=8,38,38))))</f>
        <v>42</v>
      </c>
      <c r="T20" s="405" t="s">
        <v>256</v>
      </c>
      <c r="U20" s="406">
        <f>U9+U14+IF(D6&gt;=1,U18,U17)</f>
        <v>412682</v>
      </c>
    </row>
    <row r="21" spans="1:21" ht="14.25" thickBot="1">
      <c r="A21" s="402"/>
      <c r="B21" s="569" t="s">
        <v>99</v>
      </c>
      <c r="C21" s="568"/>
      <c r="D21" s="408">
        <f>MIN((20+ROUNDDOWN($D$18/10,0)*3)/100,0.5)</f>
        <v>0.5</v>
      </c>
      <c r="E21" s="42" t="s">
        <v>1305</v>
      </c>
      <c r="F21" s="8"/>
      <c r="G21" s="8">
        <v>2</v>
      </c>
      <c r="H21" s="8">
        <v>2</v>
      </c>
      <c r="I21" s="8">
        <v>2</v>
      </c>
      <c r="J21" s="8">
        <v>2</v>
      </c>
      <c r="K21" s="9"/>
      <c r="N21" s="1229" t="s">
        <v>96</v>
      </c>
      <c r="O21" s="1515"/>
      <c r="P21" s="1515"/>
      <c r="Q21" s="1515"/>
      <c r="R21" s="1515"/>
      <c r="S21" s="1781">
        <f>IF($D$18&gt;=100,U20*S20*$G$47,"コンボ補正変動のため割愛")</f>
        <v>17332644</v>
      </c>
      <c r="T21" s="1782"/>
      <c r="U21" s="1783"/>
    </row>
    <row r="22" spans="1:21" ht="14.25" thickBot="1">
      <c r="A22" s="402" t="b">
        <v>1</v>
      </c>
      <c r="B22" s="163" t="s">
        <v>80</v>
      </c>
      <c r="C22" s="397"/>
      <c r="D22" s="589"/>
      <c r="E22" s="42" t="s">
        <v>68</v>
      </c>
      <c r="F22" s="8"/>
      <c r="G22" s="8">
        <v>3</v>
      </c>
      <c r="H22" s="8">
        <v>3</v>
      </c>
      <c r="I22" s="8">
        <v>3</v>
      </c>
      <c r="J22" s="8">
        <v>3</v>
      </c>
      <c r="K22" s="9"/>
      <c r="N22" s="1405" t="s">
        <v>78</v>
      </c>
      <c r="O22" s="1376"/>
      <c r="P22" s="1376"/>
      <c r="Q22" s="1159"/>
      <c r="R22" s="17" t="s">
        <v>252</v>
      </c>
      <c r="S22" s="75">
        <f>(650+6*D7)/100</f>
        <v>6.56</v>
      </c>
      <c r="T22" s="410"/>
      <c r="U22" s="200"/>
    </row>
    <row r="23" spans="1:21" ht="13.5">
      <c r="A23" s="403" t="str">
        <f>IF(A22=TRUE,"TRUE",IF(D22=1,"TRUE","FLASE"))</f>
        <v>TRUE</v>
      </c>
      <c r="B23" s="590" t="s">
        <v>74</v>
      </c>
      <c r="C23" s="591"/>
      <c r="D23" s="137">
        <v>30</v>
      </c>
      <c r="E23" s="42" t="s">
        <v>181</v>
      </c>
      <c r="F23" s="8"/>
      <c r="G23" s="8"/>
      <c r="H23" s="8"/>
      <c r="I23" s="8"/>
      <c r="J23" s="8"/>
      <c r="K23" s="9"/>
      <c r="N23" s="1519" t="s">
        <v>785</v>
      </c>
      <c r="O23" s="1520"/>
      <c r="P23" s="995">
        <f>MIN(INT(($R$4*S22)*(1+$B$34+$E$34+$B$52+$K$35)*$V$6),ReadMe!$M$99)</f>
        <v>120861</v>
      </c>
      <c r="Q23" s="1295" t="s">
        <v>549</v>
      </c>
      <c r="R23" s="78" t="s">
        <v>257</v>
      </c>
      <c r="S23" s="155">
        <f>MIN(INT(P23*$E$41),ReadMe!$M$99)</f>
        <v>163162</v>
      </c>
      <c r="T23" s="1221" t="s">
        <v>335</v>
      </c>
      <c r="U23" s="1556">
        <f>S24</f>
        <v>181794</v>
      </c>
    </row>
    <row r="24" spans="1:21" ht="13.5">
      <c r="A24" s="403"/>
      <c r="B24" s="1415" t="s">
        <v>325</v>
      </c>
      <c r="C24" s="1416"/>
      <c r="D24" s="44">
        <f>D23</f>
        <v>30</v>
      </c>
      <c r="E24" s="42" t="s">
        <v>69</v>
      </c>
      <c r="F24" s="8"/>
      <c r="G24" s="8"/>
      <c r="H24" s="8"/>
      <c r="I24" s="8"/>
      <c r="J24" s="8"/>
      <c r="K24" s="9"/>
      <c r="N24" s="1438"/>
      <c r="O24" s="1439"/>
      <c r="P24" s="996">
        <f>INT((P23+P25)/2)</f>
        <v>127575</v>
      </c>
      <c r="Q24" s="1296"/>
      <c r="R24" s="79" t="s">
        <v>258</v>
      </c>
      <c r="S24" s="156">
        <f>MIN(INT(P24*(($E$41+$F$41)/2)),ReadMe!$M$99)</f>
        <v>181794</v>
      </c>
      <c r="T24" s="1401"/>
      <c r="U24" s="1557"/>
    </row>
    <row r="25" spans="2:21" ht="14.25" thickBot="1">
      <c r="B25" s="7" t="s">
        <v>310</v>
      </c>
      <c r="C25" s="43"/>
      <c r="D25" s="511">
        <f>IF(D23=0,70,75+ROUNDUP(D23/2,0))/100</f>
        <v>0.9</v>
      </c>
      <c r="E25" s="42" t="s">
        <v>1153</v>
      </c>
      <c r="F25" s="8">
        <v>20</v>
      </c>
      <c r="G25" s="8"/>
      <c r="H25" s="8"/>
      <c r="I25" s="8"/>
      <c r="J25" s="8"/>
      <c r="K25" s="9"/>
      <c r="N25" s="1164"/>
      <c r="O25" s="1644"/>
      <c r="P25" s="997">
        <f>MIN(INT(($T$4*S22)*(1+$B$34+$E$34+$B$52+$K$35)*$V$6),ReadMe!$M$99)</f>
        <v>134290</v>
      </c>
      <c r="Q25" s="1784"/>
      <c r="R25" s="249" t="s">
        <v>259</v>
      </c>
      <c r="S25" s="251">
        <f>MIN(INT(P25*$F$41),ReadMe!$M$99)</f>
        <v>201435</v>
      </c>
      <c r="T25" s="1402"/>
      <c r="U25" s="1558"/>
    </row>
    <row r="26" spans="2:21" ht="14.25" thickBot="1">
      <c r="B26" s="14" t="s">
        <v>1091</v>
      </c>
      <c r="C26" s="15"/>
      <c r="D26" s="28">
        <f>ROUNDUP(D23/2,0)/100</f>
        <v>0.15</v>
      </c>
      <c r="E26" s="42" t="s">
        <v>788</v>
      </c>
      <c r="F26" s="8"/>
      <c r="G26" s="8"/>
      <c r="H26" s="8"/>
      <c r="I26" s="8"/>
      <c r="J26" s="8"/>
      <c r="K26" s="9"/>
      <c r="N26" s="1348" t="s">
        <v>81</v>
      </c>
      <c r="O26" s="1787"/>
      <c r="P26" s="1787"/>
      <c r="Q26" s="1306"/>
      <c r="R26" s="1306"/>
      <c r="S26" s="412">
        <f>IF($A$5=5,32,IF($A$5=6,30,IF($A$5=7,26,IF($A$5=8,25,25))))</f>
        <v>30</v>
      </c>
      <c r="T26" s="405" t="s">
        <v>256</v>
      </c>
      <c r="U26" s="407">
        <f>U9+U14+IF(D6&gt;=1,U18,U17)+U23</f>
        <v>594476</v>
      </c>
    </row>
    <row r="27" spans="2:21" ht="14.25" thickBot="1">
      <c r="B27" s="1132" t="s">
        <v>70</v>
      </c>
      <c r="C27" s="1128"/>
      <c r="D27" s="20">
        <v>9</v>
      </c>
      <c r="E27" s="216" t="s">
        <v>71</v>
      </c>
      <c r="F27" s="8"/>
      <c r="G27" s="40">
        <f>ROUNDDOWN(G3*D28%,0)</f>
        <v>38</v>
      </c>
      <c r="H27" s="40">
        <f>ROUNDDOWN(H3*D28%,0)</f>
        <v>0</v>
      </c>
      <c r="I27" s="40">
        <f>ROUNDDOWN(I3*D28%,0)</f>
        <v>0</v>
      </c>
      <c r="J27" s="40">
        <f>ROUNDDOWN(J3*D28%,0)</f>
        <v>0</v>
      </c>
      <c r="K27" s="9">
        <v>120</v>
      </c>
      <c r="N27" s="1305" t="s">
        <v>96</v>
      </c>
      <c r="O27" s="1306"/>
      <c r="P27" s="1306"/>
      <c r="Q27" s="1306"/>
      <c r="R27" s="1306"/>
      <c r="S27" s="1410">
        <f>IF($D$18&gt;=100,U26*S26*$G$47,"コンボ補正変動のため割愛")</f>
        <v>17834280</v>
      </c>
      <c r="T27" s="1410"/>
      <c r="U27" s="1411"/>
    </row>
    <row r="28" spans="2:21" ht="14.25" thickBot="1">
      <c r="B28" s="14" t="s">
        <v>263</v>
      </c>
      <c r="C28" s="538"/>
      <c r="D28" s="46">
        <f>ROUNDUP(D27/2,0)</f>
        <v>5</v>
      </c>
      <c r="E28" s="7" t="s">
        <v>264</v>
      </c>
      <c r="F28" s="43">
        <f>D29+D24+D20</f>
        <v>50</v>
      </c>
      <c r="G28" s="43">
        <f>SUM(G4:G26)</f>
        <v>89</v>
      </c>
      <c r="H28" s="43">
        <f>SUM(H4:H26)</f>
        <v>62</v>
      </c>
      <c r="I28" s="43">
        <f>SUM(I4:I26)</f>
        <v>27</v>
      </c>
      <c r="J28" s="43">
        <f>SUM(J4:J26)</f>
        <v>27</v>
      </c>
      <c r="K28" s="44">
        <f>SUM(K3:K27)+D29</f>
        <v>164</v>
      </c>
      <c r="U28" s="413"/>
    </row>
    <row r="29" spans="2:21" ht="14.25" thickBot="1">
      <c r="B29" s="17" t="s">
        <v>1378</v>
      </c>
      <c r="C29" s="195"/>
      <c r="D29" s="18">
        <v>0</v>
      </c>
      <c r="E29" s="14" t="s">
        <v>256</v>
      </c>
      <c r="F29" s="48">
        <f>SUM(F4:F28)</f>
        <v>215</v>
      </c>
      <c r="G29" s="546">
        <f>INT((G3+G27+G28)*(1+G32))</f>
        <v>969</v>
      </c>
      <c r="H29" s="546">
        <f>INT((H3+H27+H28)*(1+H32))</f>
        <v>72</v>
      </c>
      <c r="I29" s="546">
        <f>INT((I3+I27+I28)*(1+I32))</f>
        <v>31</v>
      </c>
      <c r="J29" s="546">
        <f>INT((J3+J27+J28)*(1+J32))</f>
        <v>31</v>
      </c>
      <c r="K29" s="547">
        <f>($G$29*0.4+$J$29*0.8+$H$29*1.6+K28)*(1+K32)</f>
        <v>691.6</v>
      </c>
      <c r="N29" s="1768" t="str">
        <f>IF($D$18&gt;=200,"C.テンペスト","C.テンペスト(コンボ不足により使用不可)")</f>
        <v>C.テンペスト(コンボ不足により使用不可)</v>
      </c>
      <c r="O29" s="1769"/>
      <c r="P29" s="1769"/>
      <c r="Q29" s="1770"/>
      <c r="R29" s="17" t="s">
        <v>252</v>
      </c>
      <c r="S29" s="75">
        <f>(420+10*D9)/100</f>
        <v>4.3</v>
      </c>
      <c r="T29" s="96"/>
      <c r="U29" s="21"/>
    </row>
    <row r="30" spans="2:21" ht="14.25" thickBot="1">
      <c r="B30" s="1305" t="s">
        <v>981</v>
      </c>
      <c r="C30" s="1306"/>
      <c r="D30" s="1306"/>
      <c r="E30" s="1306"/>
      <c r="F30" s="1306"/>
      <c r="G30" s="1306"/>
      <c r="H30" s="1306"/>
      <c r="I30" s="1306"/>
      <c r="J30" s="1306"/>
      <c r="K30" s="1307"/>
      <c r="N30" s="1771" t="str">
        <f>IF($A$23="TRUE","弱点","通常")</f>
        <v>弱点</v>
      </c>
      <c r="O30" s="76" t="s">
        <v>257</v>
      </c>
      <c r="P30" s="521">
        <f>MIN(INT(($R$4*S29*$Q$6)*(1+$B$34+$E$34+$B$52+$K$35)*$V$6),ReadMe!$M$99)</f>
        <v>106951</v>
      </c>
      <c r="Q30" s="1447" t="s">
        <v>549</v>
      </c>
      <c r="R30" s="78" t="s">
        <v>257</v>
      </c>
      <c r="S30" s="155">
        <f>MIN(INT(P30*$E$41),ReadMe!$M$99)</f>
        <v>144383</v>
      </c>
      <c r="T30" s="1701" t="s">
        <v>335</v>
      </c>
      <c r="U30" s="1556">
        <f>INT(P31*(1-$G$41)+S31*$G$41)</f>
        <v>139281</v>
      </c>
    </row>
    <row r="31" spans="2:21" ht="13.5">
      <c r="B31" s="1218" t="s">
        <v>762</v>
      </c>
      <c r="C31" s="1219"/>
      <c r="D31" s="1220"/>
      <c r="E31" s="1308" t="s">
        <v>982</v>
      </c>
      <c r="F31" s="1309"/>
      <c r="G31" s="1" t="s">
        <v>986</v>
      </c>
      <c r="H31" s="3" t="s">
        <v>985</v>
      </c>
      <c r="I31" s="3" t="s">
        <v>984</v>
      </c>
      <c r="J31" s="3" t="s">
        <v>983</v>
      </c>
      <c r="K31" s="4" t="s">
        <v>987</v>
      </c>
      <c r="N31" s="1772"/>
      <c r="O31" s="43" t="s">
        <v>258</v>
      </c>
      <c r="P31" s="522">
        <f>INT((P30+P32)/2)</f>
        <v>112893</v>
      </c>
      <c r="Q31" s="1448"/>
      <c r="R31" s="79" t="s">
        <v>258</v>
      </c>
      <c r="S31" s="156">
        <f>MIN(INT(P31*(($E$41+$F$41)/2)),ReadMe!$M$99)</f>
        <v>160872</v>
      </c>
      <c r="T31" s="1451"/>
      <c r="U31" s="1557"/>
    </row>
    <row r="32" spans="2:21" ht="14.25" thickBot="1">
      <c r="B32" s="1210">
        <v>0</v>
      </c>
      <c r="C32" s="1211"/>
      <c r="D32" s="1212"/>
      <c r="E32" s="1130">
        <v>0</v>
      </c>
      <c r="F32" s="1131"/>
      <c r="G32" s="542">
        <v>0.09</v>
      </c>
      <c r="H32" s="543">
        <v>0</v>
      </c>
      <c r="I32" s="543">
        <v>0</v>
      </c>
      <c r="J32" s="543">
        <v>0</v>
      </c>
      <c r="K32" s="544">
        <v>0</v>
      </c>
      <c r="N32" s="250" t="s">
        <v>309</v>
      </c>
      <c r="O32" s="68" t="s">
        <v>259</v>
      </c>
      <c r="P32" s="523">
        <f>MIN(INT(($T$4*S29*$Q$6)*(1+$B$34+$E$34+$B$52+$K$35)*$V$6),ReadMe!$M$99)</f>
        <v>118835</v>
      </c>
      <c r="Q32" s="404" t="s">
        <v>309</v>
      </c>
      <c r="R32" s="249" t="s">
        <v>259</v>
      </c>
      <c r="S32" s="251">
        <f>MIN(INT(P32*$F$41),ReadMe!$M$99)</f>
        <v>178252</v>
      </c>
      <c r="T32" s="1451"/>
      <c r="U32" s="1558"/>
    </row>
    <row r="33" spans="2:21" ht="14.25" thickBot="1">
      <c r="B33" s="1221" t="s">
        <v>135</v>
      </c>
      <c r="C33" s="1166"/>
      <c r="D33" s="1177"/>
      <c r="E33" s="1261" t="s">
        <v>877</v>
      </c>
      <c r="F33" s="1262"/>
      <c r="N33" s="1771" t="str">
        <f>IF($A$23="TRUE","弱点","通常")</f>
        <v>弱点</v>
      </c>
      <c r="O33" s="76" t="s">
        <v>257</v>
      </c>
      <c r="P33" s="521">
        <f>P30*4</f>
        <v>427804</v>
      </c>
      <c r="Q33" s="1447" t="s">
        <v>549</v>
      </c>
      <c r="R33" s="87" t="s">
        <v>257</v>
      </c>
      <c r="S33" s="519">
        <f>S30*4</f>
        <v>577532</v>
      </c>
      <c r="T33" s="1701" t="s">
        <v>726</v>
      </c>
      <c r="U33" s="1788">
        <f>U30*4</f>
        <v>557124</v>
      </c>
    </row>
    <row r="34" spans="2:21" ht="14.25" thickBot="1">
      <c r="B34" s="1210">
        <v>0</v>
      </c>
      <c r="C34" s="1222"/>
      <c r="D34" s="1212"/>
      <c r="E34" s="1130">
        <v>0</v>
      </c>
      <c r="F34" s="1131"/>
      <c r="I34" s="1297" t="s">
        <v>1417</v>
      </c>
      <c r="J34" s="1298"/>
      <c r="K34" s="1299"/>
      <c r="N34" s="1772"/>
      <c r="O34" s="43" t="s">
        <v>258</v>
      </c>
      <c r="P34" s="522">
        <f>P31*4</f>
        <v>451572</v>
      </c>
      <c r="Q34" s="1448"/>
      <c r="R34" s="79" t="s">
        <v>258</v>
      </c>
      <c r="S34" s="629">
        <f>S31*4</f>
        <v>643488</v>
      </c>
      <c r="T34" s="1451"/>
      <c r="U34" s="1789"/>
    </row>
    <row r="35" spans="9:21" ht="14.25" thickBot="1">
      <c r="I35" s="14" t="s">
        <v>1410</v>
      </c>
      <c r="J35" s="15"/>
      <c r="K35" s="534">
        <v>0</v>
      </c>
      <c r="N35" s="675" t="s">
        <v>256</v>
      </c>
      <c r="O35" s="15" t="s">
        <v>259</v>
      </c>
      <c r="P35" s="523">
        <f>P32*4</f>
        <v>475340</v>
      </c>
      <c r="Q35" s="80" t="s">
        <v>256</v>
      </c>
      <c r="R35" s="86" t="s">
        <v>259</v>
      </c>
      <c r="S35" s="706">
        <f>S32*4</f>
        <v>713008</v>
      </c>
      <c r="T35" s="1434"/>
      <c r="U35" s="1778"/>
    </row>
    <row r="36" spans="2:19" ht="14.25" thickBot="1">
      <c r="B36" s="1280" t="s">
        <v>88</v>
      </c>
      <c r="C36" s="1281"/>
      <c r="D36" s="1281"/>
      <c r="E36" s="572" t="s">
        <v>257</v>
      </c>
      <c r="F36" s="573" t="s">
        <v>259</v>
      </c>
      <c r="G36" s="574" t="s">
        <v>1085</v>
      </c>
      <c r="N36" s="21"/>
      <c r="O36" s="21"/>
      <c r="P36" s="21"/>
      <c r="Q36" s="21"/>
      <c r="R36" s="21"/>
      <c r="S36" s="21"/>
    </row>
    <row r="37" spans="2:21" ht="14.25" thickBot="1">
      <c r="B37" s="1213" t="s">
        <v>25</v>
      </c>
      <c r="C37" s="1214"/>
      <c r="D37" s="1215"/>
      <c r="E37" s="582">
        <f>1.2+D26</f>
        <v>1.3499999999999999</v>
      </c>
      <c r="F37" s="583">
        <v>1.5</v>
      </c>
      <c r="G37" s="490">
        <f>D21+0.05</f>
        <v>0.55</v>
      </c>
      <c r="I37" s="1256" t="s">
        <v>438</v>
      </c>
      <c r="J37" s="1300"/>
      <c r="K37" s="1301"/>
      <c r="N37" s="1768" t="str">
        <f>IF($D$18&gt;=200,"C.ジャッジメント(他スキル発動により使用不可)",IF($D$18&gt;=100,"C.ジャッジメント","C.ジャッジメント(コンボ不足により使用不可)"))</f>
        <v>C.ジャッジメント</v>
      </c>
      <c r="O37" s="1769"/>
      <c r="P37" s="1769"/>
      <c r="Q37" s="1770"/>
      <c r="R37" s="17" t="s">
        <v>252</v>
      </c>
      <c r="S37" s="75">
        <f>(1300+10*D10)/100</f>
        <v>15</v>
      </c>
      <c r="T37" s="96"/>
      <c r="U37" s="21"/>
    </row>
    <row r="38" spans="2:21" ht="14.25" thickBot="1">
      <c r="B38" s="1228" t="s">
        <v>86</v>
      </c>
      <c r="C38" s="1284"/>
      <c r="D38" s="516">
        <v>0</v>
      </c>
      <c r="E38" s="587" t="s">
        <v>1078</v>
      </c>
      <c r="F38" s="505">
        <f>D38/100</f>
        <v>0</v>
      </c>
      <c r="G38" s="511">
        <f>IF(D38=0,0,(5+ROUNDUP(D38/2,0))/100)</f>
        <v>0</v>
      </c>
      <c r="I38" s="1256" t="s">
        <v>440</v>
      </c>
      <c r="J38" s="1257"/>
      <c r="K38" s="1258"/>
      <c r="N38" s="1771" t="str">
        <f>IF($A$23="TRUE","弱点","通常")</f>
        <v>弱点</v>
      </c>
      <c r="O38" s="76" t="s">
        <v>257</v>
      </c>
      <c r="P38" s="521">
        <f>MIN(INT(($R$4*S37*$Q$6)*(1+$B$34+$E$34+$B$52+$K$35)*$V$6),ReadMe!$M$99)</f>
        <v>373087</v>
      </c>
      <c r="Q38" s="1447" t="s">
        <v>549</v>
      </c>
      <c r="R38" s="87" t="s">
        <v>257</v>
      </c>
      <c r="S38" s="155">
        <f>MIN(INT(P38*$E$41),ReadMe!$M$99)</f>
        <v>503667</v>
      </c>
      <c r="T38" s="1701" t="s">
        <v>335</v>
      </c>
      <c r="U38" s="1556">
        <f>INT(P39*(1-$G$41)+S39*$G$41)</f>
        <v>485867</v>
      </c>
    </row>
    <row r="39" spans="1:21"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772"/>
      <c r="O39" s="43" t="s">
        <v>258</v>
      </c>
      <c r="P39" s="522">
        <f>INT((P38+P40)/2)</f>
        <v>393814</v>
      </c>
      <c r="Q39" s="1448"/>
      <c r="R39" s="79" t="s">
        <v>258</v>
      </c>
      <c r="S39" s="156">
        <f>MIN(INT(P39*(($E$41+$F$41)/2)),ReadMe!$M$99)</f>
        <v>561184</v>
      </c>
      <c r="T39" s="1451"/>
      <c r="U39" s="1557"/>
    </row>
    <row r="40" spans="2:21" ht="14.25" thickBot="1">
      <c r="B40" s="1285" t="s">
        <v>89</v>
      </c>
      <c r="C40" s="1286"/>
      <c r="D40" s="1287"/>
      <c r="E40" s="584">
        <v>0</v>
      </c>
      <c r="F40" s="585">
        <v>0</v>
      </c>
      <c r="G40" s="534">
        <v>0</v>
      </c>
      <c r="N40" s="1785"/>
      <c r="O40" s="15" t="s">
        <v>259</v>
      </c>
      <c r="P40" s="523">
        <f>MIN(INT(($T$4*S37*$Q$6)*(1+$B$34+$E$34+$B$52+$K$35)*$V$6),ReadMe!$M$99)</f>
        <v>414541</v>
      </c>
      <c r="Q40" s="1790"/>
      <c r="R40" s="86" t="s">
        <v>259</v>
      </c>
      <c r="S40" s="157">
        <f>MIN(INT(P40*$F$41),ReadMe!$M$99)</f>
        <v>621811</v>
      </c>
      <c r="T40" s="1434"/>
      <c r="U40" s="1558"/>
    </row>
    <row r="41" spans="2:19" ht="14.25" thickBot="1">
      <c r="B41" s="1290" t="s">
        <v>91</v>
      </c>
      <c r="C41" s="1291"/>
      <c r="D41" s="1292"/>
      <c r="E41" s="579">
        <f>E37+E39+E40</f>
        <v>1.3499999999999999</v>
      </c>
      <c r="F41" s="580">
        <f>F37+MAX(F38,F39)+F40</f>
        <v>1.5</v>
      </c>
      <c r="G41" s="581">
        <f>G37+MAX(G38,G39)+G40</f>
        <v>0.55</v>
      </c>
      <c r="I41" s="1259" t="s">
        <v>128</v>
      </c>
      <c r="J41" s="1260"/>
      <c r="K41" s="791"/>
      <c r="L41" s="402" t="b">
        <v>0</v>
      </c>
      <c r="M41" s="486" t="str">
        <f>IF(L41=TRUE,"TRUE",IF(K41=1,"TRUE","FLASE"))</f>
        <v>FLASE</v>
      </c>
      <c r="N41" s="21"/>
      <c r="O41" s="21"/>
      <c r="P41" s="21"/>
      <c r="Q41" s="21"/>
      <c r="R41" s="21"/>
      <c r="S41" s="21"/>
    </row>
    <row r="42" spans="2:21" ht="14.25" thickBot="1">
      <c r="B42" s="1216" t="s">
        <v>331</v>
      </c>
      <c r="C42" s="1199"/>
      <c r="D42" s="1200"/>
      <c r="E42" s="1253">
        <f>(($E$41+$F$41)/2-1)*$G$41+1</f>
        <v>1.23375</v>
      </c>
      <c r="F42" s="1254"/>
      <c r="G42" s="1255"/>
      <c r="I42" s="590" t="s">
        <v>1119</v>
      </c>
      <c r="J42" s="788"/>
      <c r="K42" s="789">
        <v>0</v>
      </c>
      <c r="N42" s="1768" t="str">
        <f>IF($D$18&gt;=100,"C.フェンリル(他スキル発動により使用不可)",IF($D$18&gt;=50,"C.フェンリル","C.フェンリル(コンボ不足により使用不可)"))</f>
        <v>C.フェンリル(他スキル発動により使用不可)</v>
      </c>
      <c r="O42" s="1769"/>
      <c r="P42" s="1769"/>
      <c r="Q42" s="1770"/>
      <c r="R42" s="17" t="s">
        <v>252</v>
      </c>
      <c r="S42" s="75">
        <f>(350+4*D11)/100</f>
        <v>4.3</v>
      </c>
      <c r="T42" s="96"/>
      <c r="U42" s="21"/>
    </row>
    <row r="43" spans="9:21" ht="14.25" thickBot="1">
      <c r="I43" s="1251" t="s">
        <v>854</v>
      </c>
      <c r="J43" s="1252"/>
      <c r="K43" s="790">
        <f>IF(M41="true",IF(K42&gt;0,10+ROUNDUP(K42/3,0),10)/100,0)</f>
        <v>0</v>
      </c>
      <c r="L43" s="323"/>
      <c r="M43" s="323"/>
      <c r="N43" s="1771" t="str">
        <f>IF($A$23="TRUE","弱点","通常")</f>
        <v>弱点</v>
      </c>
      <c r="O43" s="76" t="s">
        <v>257</v>
      </c>
      <c r="P43" s="521">
        <f>MIN(INT(($R$4*S42*$Q$6)*(1+$B$34+$E$34+$B$52+$K$35)*$V$6),ReadMe!$M$99)</f>
        <v>106951</v>
      </c>
      <c r="Q43" s="1447" t="s">
        <v>549</v>
      </c>
      <c r="R43" s="78" t="s">
        <v>257</v>
      </c>
      <c r="S43" s="155">
        <f>MIN(INT(P43*$E$41),ReadMe!$M$99)</f>
        <v>144383</v>
      </c>
      <c r="T43" s="1701" t="s">
        <v>335</v>
      </c>
      <c r="U43" s="1556">
        <f>INT(P44*(1-$G$41)+S44*$G$41)</f>
        <v>139281</v>
      </c>
    </row>
    <row r="44" spans="14:21" ht="14.25" thickBot="1">
      <c r="N44" s="1772"/>
      <c r="O44" s="43" t="s">
        <v>258</v>
      </c>
      <c r="P44" s="522">
        <f>INT((P43+P45)/2)</f>
        <v>112893</v>
      </c>
      <c r="Q44" s="1448"/>
      <c r="R44" s="79" t="s">
        <v>258</v>
      </c>
      <c r="S44" s="156">
        <f>MIN(INT(P44*(($E$41+$F$41)/2)),ReadMe!$M$99)</f>
        <v>160872</v>
      </c>
      <c r="T44" s="1451"/>
      <c r="U44" s="1557"/>
    </row>
    <row r="45" spans="2:21" ht="14.25" thickBot="1">
      <c r="B45" s="1282" t="s">
        <v>735</v>
      </c>
      <c r="C45" s="1283"/>
      <c r="D45" s="533">
        <v>125</v>
      </c>
      <c r="E45" s="1249" t="s">
        <v>736</v>
      </c>
      <c r="F45" s="1250"/>
      <c r="G45" s="25">
        <f>IF(D2&gt;D45,0,$D$45-$D$2)</f>
        <v>0</v>
      </c>
      <c r="I45" s="1137" t="s">
        <v>159</v>
      </c>
      <c r="J45" s="1138"/>
      <c r="K45" s="1139"/>
      <c r="N45" s="250" t="s">
        <v>309</v>
      </c>
      <c r="O45" s="68" t="s">
        <v>259</v>
      </c>
      <c r="P45" s="523">
        <f>MIN(INT(($T$4*S42*$Q$6)*(1+$B$34+$E$34+$B$52+$K$35)*$V$6),ReadMe!$M$99)</f>
        <v>118835</v>
      </c>
      <c r="Q45" s="404" t="s">
        <v>309</v>
      </c>
      <c r="R45" s="249" t="s">
        <v>259</v>
      </c>
      <c r="S45" s="251">
        <f>MIN(INT(P45*$F$41),ReadMe!$M$99)</f>
        <v>178252</v>
      </c>
      <c r="T45" s="1451"/>
      <c r="U45" s="1558"/>
    </row>
    <row r="46" spans="2:21" ht="13.5">
      <c r="B46" s="1242" t="s">
        <v>769</v>
      </c>
      <c r="C46" s="1243"/>
      <c r="D46" s="9">
        <v>12</v>
      </c>
      <c r="E46" s="1242" t="s">
        <v>771</v>
      </c>
      <c r="F46" s="1243"/>
      <c r="G46" s="615">
        <f>IF(G45&gt;0,"-",D46)</f>
        <v>12</v>
      </c>
      <c r="I46" s="416" t="s">
        <v>160</v>
      </c>
      <c r="J46" s="539"/>
      <c r="K46" s="204">
        <v>0</v>
      </c>
      <c r="N46" s="1771" t="str">
        <f>IF($A$23="TRUE","弱点","通常")</f>
        <v>弱点</v>
      </c>
      <c r="O46" s="76" t="s">
        <v>257</v>
      </c>
      <c r="P46" s="521">
        <f>P43*2</f>
        <v>213902</v>
      </c>
      <c r="Q46" s="1447" t="s">
        <v>549</v>
      </c>
      <c r="R46" s="87" t="s">
        <v>257</v>
      </c>
      <c r="S46" s="519">
        <f>S43*2</f>
        <v>288766</v>
      </c>
      <c r="T46" s="1701" t="s">
        <v>726</v>
      </c>
      <c r="U46" s="1788">
        <f>U43*2</f>
        <v>278562</v>
      </c>
    </row>
    <row r="47" spans="2:21" ht="14.25" thickBot="1">
      <c r="B47" s="1293" t="s">
        <v>734</v>
      </c>
      <c r="C47" s="1294"/>
      <c r="D47" s="9">
        <v>0</v>
      </c>
      <c r="E47" s="1242" t="s">
        <v>770</v>
      </c>
      <c r="F47" s="1243"/>
      <c r="G47" s="511">
        <f>MAX((MIN(100+SQRT($K$29)-SQRT($D$45),100)-2*G45)/100,0)</f>
        <v>1</v>
      </c>
      <c r="I47" s="417" t="s">
        <v>161</v>
      </c>
      <c r="J47" s="540"/>
      <c r="K47" s="418">
        <f>IF(K46&gt;0,(K46+10)/100,0)</f>
        <v>0</v>
      </c>
      <c r="N47" s="1772"/>
      <c r="O47" s="43" t="s">
        <v>258</v>
      </c>
      <c r="P47" s="522">
        <f>P44*2</f>
        <v>225786</v>
      </c>
      <c r="Q47" s="1448"/>
      <c r="R47" s="79" t="s">
        <v>258</v>
      </c>
      <c r="S47" s="629">
        <f>S44*2</f>
        <v>321744</v>
      </c>
      <c r="T47" s="1451"/>
      <c r="U47" s="1789"/>
    </row>
    <row r="48" spans="2:21" ht="14.25" thickBot="1">
      <c r="B48" s="1278" t="s">
        <v>979</v>
      </c>
      <c r="C48" s="1279"/>
      <c r="D48" s="534">
        <v>0.25</v>
      </c>
      <c r="E48" s="1197" t="s">
        <v>980</v>
      </c>
      <c r="F48" s="1198"/>
      <c r="G48" s="28">
        <f>1-(D48-ROUNDUP(D48*(K47+B32+0.2),2))</f>
        <v>0.8</v>
      </c>
      <c r="N48" s="675" t="s">
        <v>256</v>
      </c>
      <c r="O48" s="15" t="s">
        <v>259</v>
      </c>
      <c r="P48" s="523">
        <f>P45*2</f>
        <v>237670</v>
      </c>
      <c r="Q48" s="80" t="s">
        <v>256</v>
      </c>
      <c r="R48" s="86" t="s">
        <v>259</v>
      </c>
      <c r="S48" s="706">
        <f>S45*2</f>
        <v>356504</v>
      </c>
      <c r="T48" s="1434"/>
      <c r="U48" s="1778"/>
    </row>
    <row r="49" spans="4:19" ht="14.25" thickBot="1">
      <c r="D49" s="402">
        <f>$D$47*(1-($K$47+$B$32))</f>
        <v>0</v>
      </c>
      <c r="I49" s="1246" t="s">
        <v>79</v>
      </c>
      <c r="J49" s="1247"/>
      <c r="K49" s="1248"/>
      <c r="L49" s="323"/>
      <c r="M49" s="162"/>
      <c r="N49" s="21"/>
      <c r="O49" s="21"/>
      <c r="P49" s="21"/>
      <c r="Q49" s="21"/>
      <c r="R49" s="21"/>
      <c r="S49" s="21"/>
    </row>
    <row r="50" spans="2:21" ht="14.25" thickBot="1">
      <c r="B50" s="1153" t="s">
        <v>1084</v>
      </c>
      <c r="C50" s="1133"/>
      <c r="D50" s="1129"/>
      <c r="I50" s="1127" t="s">
        <v>988</v>
      </c>
      <c r="J50" s="1217"/>
      <c r="K50" s="468"/>
      <c r="L50" s="486" t="b">
        <v>0</v>
      </c>
      <c r="M50" s="486" t="str">
        <f>IF(L50=TRUE,"TRUE",IF(K50=1,"TRUE","FLASE"))</f>
        <v>FLASE</v>
      </c>
      <c r="N50" s="1768" t="str">
        <f>IF($D$18&gt;=50,"C.スマッシュ(他スキル発動により使用不可)",IF($D$18&gt;=15,"C.スマッシュ","C.スマッシュ(コンボ不足により使用不可)"))</f>
        <v>C.スマッシュ(他スキル発動により使用不可)</v>
      </c>
      <c r="O50" s="1769"/>
      <c r="P50" s="1769"/>
      <c r="Q50" s="1770"/>
      <c r="R50" s="17" t="s">
        <v>252</v>
      </c>
      <c r="S50" s="75">
        <f>(350+10*D12)/100</f>
        <v>4.5</v>
      </c>
      <c r="T50" s="96"/>
      <c r="U50" s="21"/>
    </row>
    <row r="51" spans="2:21" ht="14.25" thickBot="1">
      <c r="B51" s="1187" t="s">
        <v>877</v>
      </c>
      <c r="C51" s="1188"/>
      <c r="D51" s="1189"/>
      <c r="I51" s="1244" t="s">
        <v>989</v>
      </c>
      <c r="J51" s="1245"/>
      <c r="K51" s="469"/>
      <c r="L51" s="486" t="b">
        <v>0</v>
      </c>
      <c r="M51" s="486" t="str">
        <f>IF(L51=TRUE,"TRUE",IF(K51=1,"TRUE","FLASE"))</f>
        <v>FLASE</v>
      </c>
      <c r="N51" s="1771" t="str">
        <f>IF($A$23="TRUE","弱点","通常")</f>
        <v>弱点</v>
      </c>
      <c r="O51" s="76" t="s">
        <v>257</v>
      </c>
      <c r="P51" s="521">
        <f>MIN(INT(($R$4*S50*$Q$6)*(1+$B$34+$E$34+$B$52+$K$35)*$V$6),ReadMe!$M$99)</f>
        <v>111926</v>
      </c>
      <c r="Q51" s="1447" t="s">
        <v>549</v>
      </c>
      <c r="R51" s="87" t="s">
        <v>257</v>
      </c>
      <c r="S51" s="155">
        <f>MIN(INT(P51*$E$41),ReadMe!$M$99)</f>
        <v>151100</v>
      </c>
      <c r="T51" s="1701" t="s">
        <v>335</v>
      </c>
      <c r="U51" s="1556">
        <f>INT(P52*(1-$G$41)+S52*$G$41)</f>
        <v>145760</v>
      </c>
    </row>
    <row r="52" spans="2:21" ht="14.25" customHeight="1" thickBot="1">
      <c r="B52" s="1194">
        <v>0</v>
      </c>
      <c r="C52" s="1195"/>
      <c r="D52" s="1196"/>
      <c r="I52" s="1240" t="s">
        <v>854</v>
      </c>
      <c r="J52" s="1241"/>
      <c r="K52" s="206">
        <f>IF(M50="TRUE",1.04,IF(M51="TRUE",1.02,1))</f>
        <v>1</v>
      </c>
      <c r="L52" s="333"/>
      <c r="M52" s="333"/>
      <c r="N52" s="1772"/>
      <c r="O52" s="43" t="s">
        <v>258</v>
      </c>
      <c r="P52" s="522">
        <f>INT((P51+P53)/2)</f>
        <v>118144</v>
      </c>
      <c r="Q52" s="1448"/>
      <c r="R52" s="79" t="s">
        <v>258</v>
      </c>
      <c r="S52" s="156">
        <f>MIN(INT(P52*(($E$41+$F$41)/2)),ReadMe!$M$99)</f>
        <v>168355</v>
      </c>
      <c r="T52" s="1451"/>
      <c r="U52" s="1557"/>
    </row>
    <row r="53" spans="14:21" ht="14.25" thickBot="1">
      <c r="N53" s="1785"/>
      <c r="O53" s="15" t="s">
        <v>259</v>
      </c>
      <c r="P53" s="523">
        <f>MIN(INT(($T$4*S50*$Q$6)*(1+$B$34+$E$34+$B$52+$K$35)*$V$6),ReadMe!$M$99)</f>
        <v>124362</v>
      </c>
      <c r="Q53" s="1790"/>
      <c r="R53" s="86" t="s">
        <v>259</v>
      </c>
      <c r="S53" s="157">
        <f>MIN(INT(P53*$F$41),ReadMe!$M$99)</f>
        <v>186543</v>
      </c>
      <c r="T53" s="1434"/>
      <c r="U53" s="1558"/>
    </row>
    <row r="54" spans="2:12" ht="14.25" thickBot="1">
      <c r="B54" s="1201" t="s">
        <v>265</v>
      </c>
      <c r="C54" s="1202"/>
      <c r="D54" s="1202"/>
      <c r="E54" s="1202"/>
      <c r="F54" s="1202"/>
      <c r="G54" s="1202"/>
      <c r="H54" s="1202"/>
      <c r="I54" s="1202"/>
      <c r="J54" s="1202"/>
      <c r="K54" s="1202"/>
      <c r="L54" s="1203"/>
    </row>
    <row r="55" spans="2:21" ht="14.25" thickBot="1">
      <c r="B55" s="1268" t="s">
        <v>683</v>
      </c>
      <c r="C55" s="1270"/>
      <c r="D55" s="1270"/>
      <c r="E55" s="1270"/>
      <c r="F55" s="1270"/>
      <c r="G55" s="1270"/>
      <c r="H55" s="1270"/>
      <c r="I55" s="1270"/>
      <c r="J55" s="1270"/>
      <c r="K55" s="1270"/>
      <c r="L55" s="1272"/>
      <c r="M55" s="21"/>
      <c r="N55" s="1768" t="s">
        <v>787</v>
      </c>
      <c r="O55" s="1769"/>
      <c r="P55" s="1769"/>
      <c r="Q55" s="1770"/>
      <c r="R55" s="17" t="s">
        <v>252</v>
      </c>
      <c r="S55" s="679">
        <f>(3.5*(1+D8*0.03))</f>
        <v>3.605</v>
      </c>
      <c r="T55" s="282" t="s">
        <v>1272</v>
      </c>
      <c r="U55" s="83">
        <v>182</v>
      </c>
    </row>
    <row r="56" spans="2:21" ht="13.5">
      <c r="B56" s="1273" t="s">
        <v>112</v>
      </c>
      <c r="C56" s="1275"/>
      <c r="D56" s="1275"/>
      <c r="E56" s="1275"/>
      <c r="F56" s="1275"/>
      <c r="G56" s="1275"/>
      <c r="H56" s="1275"/>
      <c r="I56" s="1275"/>
      <c r="J56" s="1275"/>
      <c r="K56" s="1275"/>
      <c r="L56" s="1277"/>
      <c r="N56" s="1771" t="str">
        <f>IF($A$23="TRUE","弱点","通常")</f>
        <v>弱点</v>
      </c>
      <c r="O56" s="76" t="s">
        <v>257</v>
      </c>
      <c r="P56" s="521">
        <f>MIN(INT(($R$4*S55*$Q$6)*(1+$B$34+$E$34+$B$52+$K$35)*$V$6),ReadMe!$M$99)</f>
        <v>89665</v>
      </c>
      <c r="Q56" s="1447" t="s">
        <v>549</v>
      </c>
      <c r="R56" s="87" t="s">
        <v>257</v>
      </c>
      <c r="S56" s="155">
        <f>MIN(INT(P56*$E$41),ReadMe!$M$99)</f>
        <v>121047</v>
      </c>
      <c r="T56" s="1451" t="s">
        <v>335</v>
      </c>
      <c r="U56" s="1634">
        <f>INT(P57*(1-$G$41)+S57*$G$41)</f>
        <v>116769</v>
      </c>
    </row>
    <row r="57" spans="2:21" ht="13.5">
      <c r="B57" s="1273" t="s">
        <v>131</v>
      </c>
      <c r="C57" s="1275"/>
      <c r="D57" s="1275"/>
      <c r="E57" s="1275"/>
      <c r="F57" s="1275"/>
      <c r="G57" s="1275"/>
      <c r="H57" s="1275"/>
      <c r="I57" s="1275"/>
      <c r="J57" s="1275"/>
      <c r="K57" s="1275"/>
      <c r="L57" s="1277"/>
      <c r="N57" s="1772"/>
      <c r="O57" s="43" t="s">
        <v>258</v>
      </c>
      <c r="P57" s="522">
        <f>INT((P56+P58)/2)</f>
        <v>94646</v>
      </c>
      <c r="Q57" s="1448"/>
      <c r="R57" s="79" t="s">
        <v>258</v>
      </c>
      <c r="S57" s="156">
        <f>MIN(INT(P57*(($E$41+$F$41)/2)),ReadMe!$M$99)</f>
        <v>134870</v>
      </c>
      <c r="T57" s="1451"/>
      <c r="U57" s="1557"/>
    </row>
    <row r="58" spans="2:21" ht="14.25" thickBot="1">
      <c r="B58" s="1263" t="s">
        <v>132</v>
      </c>
      <c r="C58" s="1265"/>
      <c r="D58" s="1265"/>
      <c r="E58" s="1265"/>
      <c r="F58" s="1265"/>
      <c r="G58" s="1265"/>
      <c r="H58" s="1265"/>
      <c r="I58" s="1265"/>
      <c r="J58" s="1265"/>
      <c r="K58" s="1265"/>
      <c r="L58" s="1267"/>
      <c r="N58" s="1785"/>
      <c r="O58" s="15" t="s">
        <v>259</v>
      </c>
      <c r="P58" s="523">
        <f>MIN(INT(($T$4*S55*$Q$6)*(1+$B$34+$E$34+$B$52+$K$35)*$V$6),ReadMe!$M$99)</f>
        <v>99628</v>
      </c>
      <c r="Q58" s="1790"/>
      <c r="R58" s="86" t="s">
        <v>259</v>
      </c>
      <c r="S58" s="157">
        <f>MIN(INT(P58*$F$41),ReadMe!$M$99)</f>
        <v>149442</v>
      </c>
      <c r="T58" s="1434"/>
      <c r="U58" s="1558"/>
    </row>
    <row r="59" spans="2:21" ht="14.25" customHeight="1" thickBot="1">
      <c r="B59" s="85"/>
      <c r="C59" s="85"/>
      <c r="D59" s="85"/>
      <c r="E59" s="85"/>
      <c r="F59" s="85"/>
      <c r="G59" s="85"/>
      <c r="H59" s="85"/>
      <c r="I59" s="85"/>
      <c r="J59" s="85"/>
      <c r="K59" s="85"/>
      <c r="L59" s="85"/>
      <c r="N59" s="1305" t="s">
        <v>96</v>
      </c>
      <c r="O59" s="1306"/>
      <c r="P59" s="1306"/>
      <c r="Q59" s="1306"/>
      <c r="R59" s="1306"/>
      <c r="S59" s="1410">
        <f>IF(D8=0,"連発不可能",IF($D$18&gt;=100,U56*U55*$G$47,"コンボ補正変動のため割愛"))</f>
        <v>21251958</v>
      </c>
      <c r="T59" s="1410"/>
      <c r="U59" s="1411"/>
    </row>
    <row r="60" spans="2:12" ht="13.5" customHeight="1" thickBot="1">
      <c r="B60" s="1342" t="s">
        <v>133</v>
      </c>
      <c r="C60" s="1420"/>
      <c r="D60" s="1420"/>
      <c r="E60" s="1420"/>
      <c r="F60" s="1420"/>
      <c r="G60" s="1420"/>
      <c r="H60" s="1420"/>
      <c r="I60" s="1420"/>
      <c r="J60" s="1420"/>
      <c r="K60" s="1420"/>
      <c r="L60" s="1421"/>
    </row>
    <row r="61" spans="2:19" ht="14.25" customHeight="1" thickBot="1">
      <c r="B61" s="1425" t="s">
        <v>134</v>
      </c>
      <c r="C61" s="1426"/>
      <c r="D61" s="1426"/>
      <c r="E61" s="1426"/>
      <c r="F61" s="1426"/>
      <c r="G61" s="1426"/>
      <c r="H61" s="1426"/>
      <c r="I61" s="1426"/>
      <c r="J61" s="1426"/>
      <c r="K61" s="1426"/>
      <c r="L61" s="1427"/>
      <c r="N61" s="1237" t="s">
        <v>1405</v>
      </c>
      <c r="O61" s="1238"/>
      <c r="P61" s="1238"/>
      <c r="Q61" s="1239"/>
      <c r="R61" s="465" t="s">
        <v>310</v>
      </c>
      <c r="S61" s="462">
        <v>0.6</v>
      </c>
    </row>
    <row r="62" spans="2:19" ht="14.25" thickBot="1">
      <c r="B62" s="1422" t="s">
        <v>237</v>
      </c>
      <c r="C62" s="1423"/>
      <c r="D62" s="1423"/>
      <c r="E62" s="1423"/>
      <c r="F62" s="1423"/>
      <c r="G62" s="1423"/>
      <c r="H62" s="1423"/>
      <c r="I62" s="1423"/>
      <c r="J62" s="1423"/>
      <c r="K62" s="1423"/>
      <c r="L62" s="1424"/>
      <c r="N62" s="1342" t="s">
        <v>1406</v>
      </c>
      <c r="O62" s="1343"/>
      <c r="P62" s="463">
        <v>1</v>
      </c>
      <c r="Q62" s="1181" t="s">
        <v>1334</v>
      </c>
      <c r="R62" s="1182"/>
      <c r="S62" s="313">
        <v>1</v>
      </c>
    </row>
    <row r="63" spans="2:19" ht="13.5">
      <c r="B63" s="1273" t="s">
        <v>835</v>
      </c>
      <c r="C63" s="1274"/>
      <c r="D63" s="1275"/>
      <c r="E63" s="1275"/>
      <c r="F63" s="1275"/>
      <c r="G63" s="1275"/>
      <c r="H63" s="1275"/>
      <c r="I63" s="1275"/>
      <c r="J63" s="1275"/>
      <c r="K63" s="1276"/>
      <c r="L63" s="1277"/>
      <c r="N63" s="1227" t="s">
        <v>304</v>
      </c>
      <c r="O63" s="76" t="s">
        <v>257</v>
      </c>
      <c r="P63" s="521">
        <f>MIN(INT(($R$4*P62*$Q$6)*(1+$B$34+$E$34+$B$52+$K$35)*$V$6),ReadMe!$M$99)</f>
        <v>24872</v>
      </c>
      <c r="Q63" s="1234" t="s">
        <v>725</v>
      </c>
      <c r="R63" s="186" t="s">
        <v>257</v>
      </c>
      <c r="S63" s="155">
        <f>MIN(INT(P63*$E$41),ReadMe!$M$99)</f>
        <v>33577</v>
      </c>
    </row>
    <row r="64" spans="2:19" ht="14.25" thickBot="1">
      <c r="B64" s="1263" t="s">
        <v>148</v>
      </c>
      <c r="C64" s="1264"/>
      <c r="D64" s="1265"/>
      <c r="E64" s="1265"/>
      <c r="F64" s="1265"/>
      <c r="G64" s="1265"/>
      <c r="H64" s="1265"/>
      <c r="I64" s="1265"/>
      <c r="J64" s="1265"/>
      <c r="K64" s="1266"/>
      <c r="L64" s="1267"/>
      <c r="N64" s="1228"/>
      <c r="O64" s="43" t="s">
        <v>258</v>
      </c>
      <c r="P64" s="522">
        <f>INT((P63+P65)/2)</f>
        <v>26254</v>
      </c>
      <c r="Q64" s="1235"/>
      <c r="R64" s="79" t="s">
        <v>258</v>
      </c>
      <c r="S64" s="156">
        <f>MIN(INT(P64*(($E$41+$F$41)/2)),ReadMe!$M$99)</f>
        <v>37411</v>
      </c>
    </row>
    <row r="65" spans="14:19" ht="14.25" thickBot="1">
      <c r="N65" s="1229"/>
      <c r="O65" s="15" t="s">
        <v>259</v>
      </c>
      <c r="P65" s="523">
        <f>MIN(INT(($T$4*P62*$Q$6)*(1+$B$34+$E$34+$B$52+$K$35)*$V$6),ReadMe!$M$99)</f>
        <v>27636</v>
      </c>
      <c r="Q65" s="1409"/>
      <c r="R65" s="249" t="s">
        <v>259</v>
      </c>
      <c r="S65" s="251">
        <f>MIN(INT(P65*$F$41),ReadMe!$M$99)</f>
        <v>41454</v>
      </c>
    </row>
    <row r="66" spans="14:19" ht="14.25" thickBot="1">
      <c r="N66" s="1302" t="s">
        <v>323</v>
      </c>
      <c r="O66" s="1303"/>
      <c r="P66" s="1304"/>
      <c r="Q66" s="1186">
        <f>INT(P64*(1-$G$41)+S64*$G$41)</f>
        <v>32390</v>
      </c>
      <c r="R66" s="1178"/>
      <c r="S66" s="1179"/>
    </row>
    <row r="67" spans="14:19" ht="14.25" thickBot="1">
      <c r="N67" s="1302" t="s">
        <v>726</v>
      </c>
      <c r="O67" s="1303"/>
      <c r="P67" s="1304"/>
      <c r="Q67" s="1186">
        <f>Q66*S62</f>
        <v>32390</v>
      </c>
      <c r="R67" s="1178"/>
      <c r="S67" s="1179"/>
    </row>
  </sheetData>
  <sheetProtection/>
  <protectedRanges>
    <protectedRange sqref="F21:K24" name="範囲1_1_1"/>
    <protectedRange sqref="D45:D46 D48" name="範囲1_1_1_1"/>
    <protectedRange sqref="G12:K14" name="範囲1"/>
  </protectedRanges>
  <mergeCells count="130">
    <mergeCell ref="U56:U58"/>
    <mergeCell ref="N37:Q37"/>
    <mergeCell ref="N38:N40"/>
    <mergeCell ref="Q38:Q40"/>
    <mergeCell ref="N50:Q50"/>
    <mergeCell ref="T51:T53"/>
    <mergeCell ref="T46:T48"/>
    <mergeCell ref="Q13:Q14"/>
    <mergeCell ref="N17:N18"/>
    <mergeCell ref="N12:Q12"/>
    <mergeCell ref="U38:U40"/>
    <mergeCell ref="N23:O25"/>
    <mergeCell ref="U33:U35"/>
    <mergeCell ref="T33:T35"/>
    <mergeCell ref="T38:T40"/>
    <mergeCell ref="N13:N14"/>
    <mergeCell ref="N20:R20"/>
    <mergeCell ref="B2:C2"/>
    <mergeCell ref="B27:C27"/>
    <mergeCell ref="B18:C19"/>
    <mergeCell ref="B24:C24"/>
    <mergeCell ref="B4:D4"/>
    <mergeCell ref="D18:D19"/>
    <mergeCell ref="Q67:S67"/>
    <mergeCell ref="Q62:R62"/>
    <mergeCell ref="N63:N65"/>
    <mergeCell ref="N66:P66"/>
    <mergeCell ref="N62:O62"/>
    <mergeCell ref="N67:P67"/>
    <mergeCell ref="Q66:S66"/>
    <mergeCell ref="Q63:Q65"/>
    <mergeCell ref="B33:D33"/>
    <mergeCell ref="E33:F33"/>
    <mergeCell ref="B34:D34"/>
    <mergeCell ref="N61:Q61"/>
    <mergeCell ref="N33:N34"/>
    <mergeCell ref="Q33:Q34"/>
    <mergeCell ref="N55:Q55"/>
    <mergeCell ref="N56:N58"/>
    <mergeCell ref="Q56:Q58"/>
    <mergeCell ref="N59:R59"/>
    <mergeCell ref="S59:U59"/>
    <mergeCell ref="U46:U48"/>
    <mergeCell ref="N42:Q42"/>
    <mergeCell ref="N43:N44"/>
    <mergeCell ref="Q43:Q44"/>
    <mergeCell ref="T43:T45"/>
    <mergeCell ref="Q51:Q53"/>
    <mergeCell ref="U43:U45"/>
    <mergeCell ref="U51:U53"/>
    <mergeCell ref="T56:T58"/>
    <mergeCell ref="S27:U27"/>
    <mergeCell ref="T23:T25"/>
    <mergeCell ref="U23:U25"/>
    <mergeCell ref="N27:R27"/>
    <mergeCell ref="B63:L63"/>
    <mergeCell ref="B64:L64"/>
    <mergeCell ref="B56:L56"/>
    <mergeCell ref="B54:L54"/>
    <mergeCell ref="B60:L60"/>
    <mergeCell ref="B61:L61"/>
    <mergeCell ref="B62:L62"/>
    <mergeCell ref="B58:L58"/>
    <mergeCell ref="B57:L57"/>
    <mergeCell ref="B55:L55"/>
    <mergeCell ref="N16:Q16"/>
    <mergeCell ref="Q17:Q18"/>
    <mergeCell ref="N21:R21"/>
    <mergeCell ref="N26:R26"/>
    <mergeCell ref="Q30:Q31"/>
    <mergeCell ref="N51:N53"/>
    <mergeCell ref="N46:N47"/>
    <mergeCell ref="Q46:Q47"/>
    <mergeCell ref="N8:Q8"/>
    <mergeCell ref="U14:U15"/>
    <mergeCell ref="U30:U32"/>
    <mergeCell ref="T30:T32"/>
    <mergeCell ref="T14:T15"/>
    <mergeCell ref="T18:T19"/>
    <mergeCell ref="U18:U19"/>
    <mergeCell ref="S21:U21"/>
    <mergeCell ref="N22:Q22"/>
    <mergeCell ref="Q23:Q25"/>
    <mergeCell ref="F1:P1"/>
    <mergeCell ref="R2:T2"/>
    <mergeCell ref="N2:P2"/>
    <mergeCell ref="T9:T11"/>
    <mergeCell ref="R6:S6"/>
    <mergeCell ref="N9:N11"/>
    <mergeCell ref="Q9:Q11"/>
    <mergeCell ref="T6:U6"/>
    <mergeCell ref="N6:P6"/>
    <mergeCell ref="U9:U11"/>
    <mergeCell ref="E34:F34"/>
    <mergeCell ref="N29:Q29"/>
    <mergeCell ref="N30:N31"/>
    <mergeCell ref="I37:K37"/>
    <mergeCell ref="I34:K34"/>
    <mergeCell ref="B30:K30"/>
    <mergeCell ref="B31:D31"/>
    <mergeCell ref="E31:F31"/>
    <mergeCell ref="B32:D32"/>
    <mergeCell ref="E32:F32"/>
    <mergeCell ref="I38:K38"/>
    <mergeCell ref="B36:D36"/>
    <mergeCell ref="B37:D37"/>
    <mergeCell ref="B38:C38"/>
    <mergeCell ref="I45:K45"/>
    <mergeCell ref="B39:C39"/>
    <mergeCell ref="I41:J41"/>
    <mergeCell ref="I43:J43"/>
    <mergeCell ref="B40:D40"/>
    <mergeCell ref="B41:D41"/>
    <mergeCell ref="B42:D42"/>
    <mergeCell ref="E42:G42"/>
    <mergeCell ref="E45:F45"/>
    <mergeCell ref="I52:J52"/>
    <mergeCell ref="B47:C47"/>
    <mergeCell ref="E47:F47"/>
    <mergeCell ref="I49:K49"/>
    <mergeCell ref="I50:J50"/>
    <mergeCell ref="I51:J51"/>
    <mergeCell ref="B52:D52"/>
    <mergeCell ref="B48:C48"/>
    <mergeCell ref="E48:F48"/>
    <mergeCell ref="B50:D50"/>
    <mergeCell ref="B51:D51"/>
    <mergeCell ref="B46:C46"/>
    <mergeCell ref="E46:F46"/>
    <mergeCell ref="B45:C45"/>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5.xml><?xml version="1.0" encoding="utf-8"?>
<worksheet xmlns="http://schemas.openxmlformats.org/spreadsheetml/2006/main" xmlns:r="http://schemas.openxmlformats.org/officeDocument/2006/relationships">
  <dimension ref="A1:AA94"/>
  <sheetViews>
    <sheetView workbookViewId="0" topLeftCell="A1">
      <selection activeCell="H28" sqref="H28"/>
    </sheetView>
  </sheetViews>
  <sheetFormatPr defaultColWidth="9.00390625" defaultRowHeight="13.5"/>
  <cols>
    <col min="1" max="1" width="2.625" style="0" customWidth="1"/>
    <col min="2" max="11" width="5.625" style="0" customWidth="1"/>
    <col min="12" max="13" width="2.625" style="0" customWidth="1"/>
    <col min="22" max="22" width="4.625" style="0" customWidth="1"/>
  </cols>
  <sheetData>
    <row r="1" spans="6:16" ht="24.75" thickBot="1">
      <c r="F1" s="1223" t="s">
        <v>321</v>
      </c>
      <c r="G1" s="1223"/>
      <c r="H1" s="1223"/>
      <c r="I1" s="1223"/>
      <c r="J1" s="1223"/>
      <c r="K1" s="1223"/>
      <c r="L1" s="1223"/>
      <c r="M1" s="1223"/>
      <c r="N1" s="1223"/>
      <c r="O1" s="1223"/>
      <c r="P1" s="1223"/>
    </row>
    <row r="2" spans="2:26" ht="14.25" thickBot="1">
      <c r="B2" s="1153" t="s">
        <v>532</v>
      </c>
      <c r="C2" s="1154"/>
      <c r="D2" s="2">
        <v>150</v>
      </c>
      <c r="E2" s="1"/>
      <c r="F2" s="3" t="s">
        <v>527</v>
      </c>
      <c r="G2" s="3" t="s">
        <v>311</v>
      </c>
      <c r="H2" s="3" t="s">
        <v>312</v>
      </c>
      <c r="I2" s="3" t="s">
        <v>314</v>
      </c>
      <c r="J2" s="3" t="s">
        <v>313</v>
      </c>
      <c r="K2" s="25" t="s">
        <v>749</v>
      </c>
      <c r="N2" s="1224" t="s">
        <v>1339</v>
      </c>
      <c r="O2" s="1225"/>
      <c r="P2" s="1226"/>
      <c r="Q2" s="57"/>
      <c r="R2" s="1224" t="s">
        <v>737</v>
      </c>
      <c r="S2" s="1225"/>
      <c r="T2" s="1226"/>
      <c r="W2" s="1158" t="s">
        <v>789</v>
      </c>
      <c r="X2" s="1159"/>
      <c r="Y2" s="1159"/>
      <c r="Z2" s="1160"/>
    </row>
    <row r="3" spans="2:26" ht="14.25" thickBot="1">
      <c r="B3" s="5" t="s">
        <v>241</v>
      </c>
      <c r="C3" s="536"/>
      <c r="D3" s="6">
        <f>((D2-1)*5+IF(D2&gt;=120,50,IF(D2&gt;=70,30,25)))-(G3+H3+J3+I3)</f>
        <v>0</v>
      </c>
      <c r="E3" s="305" t="s">
        <v>242</v>
      </c>
      <c r="F3" s="635"/>
      <c r="G3" s="635">
        <v>4</v>
      </c>
      <c r="H3" s="635">
        <v>4</v>
      </c>
      <c r="I3" s="635">
        <v>783</v>
      </c>
      <c r="J3" s="635">
        <v>4</v>
      </c>
      <c r="K3" s="306"/>
      <c r="N3" s="10" t="s">
        <v>270</v>
      </c>
      <c r="O3" s="11" t="s">
        <v>271</v>
      </c>
      <c r="P3" s="12" t="s">
        <v>272</v>
      </c>
      <c r="R3" s="10" t="s">
        <v>1288</v>
      </c>
      <c r="S3" s="11" t="s">
        <v>1289</v>
      </c>
      <c r="T3" s="12" t="s">
        <v>1290</v>
      </c>
      <c r="W3" s="51" t="s">
        <v>330</v>
      </c>
      <c r="X3" s="525">
        <f>(2*20)/100</f>
        <v>0.4</v>
      </c>
      <c r="Y3" s="52" t="s">
        <v>252</v>
      </c>
      <c r="Z3" s="74">
        <f>(100+5*(20/2))/100</f>
        <v>1.5</v>
      </c>
    </row>
    <row r="4" spans="2:26" ht="15" thickBot="1" thickTop="1">
      <c r="B4" s="472" t="s">
        <v>518</v>
      </c>
      <c r="C4" s="541"/>
      <c r="D4" s="575" t="s">
        <v>1320</v>
      </c>
      <c r="E4" s="10" t="s">
        <v>122</v>
      </c>
      <c r="F4" s="634"/>
      <c r="G4" s="634"/>
      <c r="H4" s="634"/>
      <c r="I4" s="634">
        <v>6</v>
      </c>
      <c r="J4" s="634"/>
      <c r="K4" s="204"/>
      <c r="N4" s="14">
        <f>P4*D28</f>
        <v>12194.323499999999</v>
      </c>
      <c r="O4" s="15">
        <f>(P4+N4)/2</f>
        <v>12515.226749999998</v>
      </c>
      <c r="P4" s="16">
        <f>$Q$4*($F$33+INT(($F$33*($E$36+$K$56+$K$47+$D$24-1))))/100</f>
        <v>12836.13</v>
      </c>
      <c r="Q4" s="402">
        <f>1*(4*$I$33+$J$33)</f>
        <v>4101</v>
      </c>
      <c r="R4" s="14">
        <f>N4*$G$52*(1-$G$49/100)</f>
        <v>9145.742624999999</v>
      </c>
      <c r="S4" s="15">
        <f>O4*$G$52*(1-$G$49/100)</f>
        <v>9386.420062499998</v>
      </c>
      <c r="T4" s="16">
        <f>P4*$G$52*(1-$G$49/100)</f>
        <v>9627.0975</v>
      </c>
      <c r="W4" s="517" t="s">
        <v>1043</v>
      </c>
      <c r="X4" s="527">
        <f>MIN(INT(($R$4*Z3)*(1+$B$38+$E$38+$B$53+$K$36)),ReadMe!$M$99)</f>
        <v>13718</v>
      </c>
      <c r="Y4" s="246" t="s">
        <v>976</v>
      </c>
      <c r="Z4" s="155">
        <f>MIN(INT(X4*E45),ReadMe!$M$99)</f>
        <v>18519</v>
      </c>
    </row>
    <row r="5" spans="2:26" ht="14.25" thickBot="1">
      <c r="B5" s="1" t="s">
        <v>114</v>
      </c>
      <c r="C5" s="535"/>
      <c r="D5" s="137">
        <v>30</v>
      </c>
      <c r="E5" s="42" t="s">
        <v>123</v>
      </c>
      <c r="F5" s="8"/>
      <c r="G5" s="8"/>
      <c r="H5" s="8"/>
      <c r="I5" s="8"/>
      <c r="J5" s="8">
        <v>6</v>
      </c>
      <c r="K5" s="9"/>
      <c r="N5" s="710">
        <f>IF(D4="火",1.25,IF(D4="毒",1.1,IF(OR(D4="雷",D4="氷"),0.75,1)))</f>
        <v>1</v>
      </c>
      <c r="O5" s="710">
        <f>IF(D4="毒",1.25,IF(D4="火",1.1,IF(OR(D4="雷",D4="氷"),0.75,1)))</f>
        <v>1</v>
      </c>
      <c r="P5" s="402">
        <f>IF(D4="氷",1.25,IF(D4="雷",1.1,IF(OR(D4="火",D4="毒"),0.75,1)))</f>
        <v>1</v>
      </c>
      <c r="Q5" s="402">
        <f>IF(D4="雷",1.25,IF(D4="氷",1.1,IF(OR(D4="火",D4="毒"),0.75,1)))</f>
        <v>1</v>
      </c>
      <c r="W5" s="272" t="s">
        <v>1044</v>
      </c>
      <c r="X5" s="528">
        <f>INT((X4+X6)/2)</f>
        <v>14079</v>
      </c>
      <c r="Y5" s="247" t="s">
        <v>977</v>
      </c>
      <c r="Z5" s="156">
        <f>MIN(INT(X5*(($E$41+$F$41)/2)),ReadMe!$M$99)</f>
        <v>20062</v>
      </c>
    </row>
    <row r="6" spans="2:26" ht="14.25" thickBot="1">
      <c r="B6" s="7" t="s">
        <v>232</v>
      </c>
      <c r="C6" s="549"/>
      <c r="D6" s="9">
        <v>30</v>
      </c>
      <c r="E6" s="42" t="s">
        <v>126</v>
      </c>
      <c r="F6" s="8"/>
      <c r="G6" s="8"/>
      <c r="H6" s="8"/>
      <c r="I6" s="8"/>
      <c r="J6" s="8"/>
      <c r="K6" s="9"/>
      <c r="N6" s="1158" t="s">
        <v>113</v>
      </c>
      <c r="O6" s="1159"/>
      <c r="P6" s="1159"/>
      <c r="Q6" s="1159"/>
      <c r="R6" s="1159"/>
      <c r="S6" s="1159"/>
      <c r="T6" s="1159"/>
      <c r="U6" s="1160"/>
      <c r="W6" s="274" t="s">
        <v>975</v>
      </c>
      <c r="X6" s="529">
        <f>MIN(INT(($T$4*Z3)*(1+$B$38+$E$38+$B$53+$K$36)),ReadMe!$M$99)</f>
        <v>14440</v>
      </c>
      <c r="Y6" s="248" t="s">
        <v>978</v>
      </c>
      <c r="Z6" s="157">
        <f>MIN(INT(X6*F45),ReadMe!$M$99)</f>
        <v>21660</v>
      </c>
    </row>
    <row r="7" spans="2:26" ht="14.25" thickBot="1">
      <c r="B7" s="39" t="s">
        <v>116</v>
      </c>
      <c r="C7" s="548"/>
      <c r="D7" s="1002">
        <v>30</v>
      </c>
      <c r="E7" s="1075" t="s">
        <v>127</v>
      </c>
      <c r="F7" s="635"/>
      <c r="G7" s="635"/>
      <c r="H7" s="635"/>
      <c r="I7" s="635"/>
      <c r="J7" s="635"/>
      <c r="K7" s="306"/>
      <c r="N7" s="89" t="s">
        <v>315</v>
      </c>
      <c r="O7" s="90">
        <f>D5</f>
        <v>30</v>
      </c>
      <c r="P7" s="146" t="s">
        <v>301</v>
      </c>
      <c r="Q7" s="606">
        <f>(115+2*O7)/100</f>
        <v>1.75</v>
      </c>
      <c r="R7" s="1344" t="s">
        <v>415</v>
      </c>
      <c r="S7" s="1345"/>
      <c r="T7" s="481">
        <v>77</v>
      </c>
      <c r="U7" s="82"/>
      <c r="W7" s="1493" t="s">
        <v>445</v>
      </c>
      <c r="X7" s="1494"/>
      <c r="Y7" s="1495">
        <f>INT(X5*(1-G45)+Z5*G45)</f>
        <v>16173</v>
      </c>
      <c r="Z7" s="1496"/>
    </row>
    <row r="8" spans="2:21" ht="15" thickBot="1" thickTop="1">
      <c r="B8" s="39" t="s">
        <v>994</v>
      </c>
      <c r="C8" s="548"/>
      <c r="D8" s="1002">
        <v>20</v>
      </c>
      <c r="E8" s="1076" t="s">
        <v>243</v>
      </c>
      <c r="F8" s="8">
        <v>155</v>
      </c>
      <c r="G8" s="8"/>
      <c r="H8" s="8"/>
      <c r="I8" s="8">
        <v>7</v>
      </c>
      <c r="J8" s="8"/>
      <c r="K8" s="9"/>
      <c r="N8" s="1227" t="s">
        <v>327</v>
      </c>
      <c r="O8" s="76" t="s">
        <v>257</v>
      </c>
      <c r="P8" s="521">
        <f>MIN(INT(($R$4*Q7)*(1+$B$38+$E$38+$B$56+$K$39)*$D$30),ReadMe!$M$99)</f>
        <v>21606</v>
      </c>
      <c r="Q8" s="1234" t="s">
        <v>725</v>
      </c>
      <c r="R8" s="186" t="s">
        <v>257</v>
      </c>
      <c r="S8" s="155">
        <f>MIN(INT(P8*$E$45),ReadMe!$M$99)</f>
        <v>29168</v>
      </c>
      <c r="T8" s="1564" t="s">
        <v>323</v>
      </c>
      <c r="U8" s="1556">
        <f>INT(P9*(1-$G$45)+S9*$G$45)</f>
        <v>25473</v>
      </c>
    </row>
    <row r="9" spans="2:27" ht="14.25" thickBot="1">
      <c r="B9" s="7" t="s">
        <v>119</v>
      </c>
      <c r="C9" s="549"/>
      <c r="D9" s="9">
        <v>30</v>
      </c>
      <c r="E9" s="42" t="s">
        <v>245</v>
      </c>
      <c r="F9" s="8">
        <v>18</v>
      </c>
      <c r="G9" s="8"/>
      <c r="H9" s="8"/>
      <c r="I9" s="8">
        <v>9</v>
      </c>
      <c r="J9" s="8"/>
      <c r="K9" s="9"/>
      <c r="N9" s="1228"/>
      <c r="O9" s="43" t="s">
        <v>258</v>
      </c>
      <c r="P9" s="522">
        <f>INT((P8+P10)/2)</f>
        <v>22175</v>
      </c>
      <c r="Q9" s="1235"/>
      <c r="R9" s="79" t="s">
        <v>258</v>
      </c>
      <c r="S9" s="156">
        <f>MIN(INT(P9*(($E$41+$F$41)/2)),ReadMe!$M$99)</f>
        <v>31599</v>
      </c>
      <c r="T9" s="1565"/>
      <c r="U9" s="1557"/>
      <c r="W9" s="1305" t="s">
        <v>512</v>
      </c>
      <c r="X9" s="1307"/>
      <c r="Y9" s="21"/>
      <c r="Z9" s="21"/>
      <c r="AA9" s="21"/>
    </row>
    <row r="10" spans="1:27" ht="14.25" thickBot="1">
      <c r="A10" s="402" t="b">
        <v>0</v>
      </c>
      <c r="B10" s="7" t="s">
        <v>971</v>
      </c>
      <c r="C10" s="43"/>
      <c r="D10" s="9">
        <v>10</v>
      </c>
      <c r="E10" s="42" t="s">
        <v>246</v>
      </c>
      <c r="F10" s="8"/>
      <c r="G10" s="8">
        <v>10</v>
      </c>
      <c r="H10" s="8">
        <v>10</v>
      </c>
      <c r="I10" s="8">
        <v>20</v>
      </c>
      <c r="J10" s="8">
        <v>10</v>
      </c>
      <c r="K10" s="9"/>
      <c r="N10" s="1229"/>
      <c r="O10" s="15" t="s">
        <v>259</v>
      </c>
      <c r="P10" s="523">
        <f>MIN(INT(($T$4*Q7)*(1+$B$38+$E$38+$B$56+$K$39)*$D$30),ReadMe!$M$99)</f>
        <v>22744</v>
      </c>
      <c r="Q10" s="1409"/>
      <c r="R10" s="249" t="s">
        <v>259</v>
      </c>
      <c r="S10" s="251">
        <f>MIN(INT(P10*$F$45),ReadMe!$M$99)</f>
        <v>34116</v>
      </c>
      <c r="T10" s="1646"/>
      <c r="U10" s="1647"/>
      <c r="W10" s="151" t="s">
        <v>138</v>
      </c>
      <c r="X10" s="3" t="s">
        <v>660</v>
      </c>
      <c r="Y10" s="1085" t="s">
        <v>952</v>
      </c>
      <c r="Z10" s="690" t="s">
        <v>140</v>
      </c>
      <c r="AA10" s="4" t="s">
        <v>141</v>
      </c>
    </row>
    <row r="11" spans="1:27" ht="14.25" thickBot="1">
      <c r="A11" s="402" t="str">
        <f>IF(A10=TRUE,"TRUE",IF(D11=1,"TRUE","FLASE"))</f>
        <v>FLASE</v>
      </c>
      <c r="B11" s="759" t="s">
        <v>950</v>
      </c>
      <c r="C11" s="43"/>
      <c r="D11" s="512"/>
      <c r="E11" s="42" t="s">
        <v>247</v>
      </c>
      <c r="F11" s="8">
        <v>5</v>
      </c>
      <c r="G11" s="8"/>
      <c r="H11" s="8"/>
      <c r="I11" s="8"/>
      <c r="J11" s="8"/>
      <c r="K11" s="9"/>
      <c r="N11" s="1508" t="s">
        <v>115</v>
      </c>
      <c r="O11" s="134" t="s">
        <v>257</v>
      </c>
      <c r="P11" s="144">
        <f>P8*4</f>
        <v>86424</v>
      </c>
      <c r="Q11" s="1227" t="s">
        <v>268</v>
      </c>
      <c r="R11" s="1510"/>
      <c r="S11" s="1391">
        <f>(P12*($T$7-T14-U14)+($Y$7*(T7-T14-U14+$X$11+$X$14)*$X$3)+$AA$11+$AA$14)*$Z$14*$G$51</f>
        <v>9446680.63767442</v>
      </c>
      <c r="T11" s="1392"/>
      <c r="U11" s="1393"/>
      <c r="W11" s="14">
        <f>60/T53</f>
        <v>1</v>
      </c>
      <c r="X11" s="15">
        <f>IF(A11="true",60/Q54,0)</f>
        <v>0</v>
      </c>
      <c r="Y11" s="1084">
        <f>W11*X11</f>
        <v>0</v>
      </c>
      <c r="Z11" s="15">
        <f>INT((S55+U61)*B15)</f>
        <v>130448</v>
      </c>
      <c r="AA11" s="16">
        <f>Z11*X11</f>
        <v>0</v>
      </c>
    </row>
    <row r="12" spans="1:25" ht="14.25" thickBot="1">
      <c r="A12" s="402" t="b">
        <v>1</v>
      </c>
      <c r="B12" s="7" t="s">
        <v>972</v>
      </c>
      <c r="C12" s="43"/>
      <c r="D12" s="9">
        <v>10</v>
      </c>
      <c r="E12" s="42" t="s">
        <v>248</v>
      </c>
      <c r="F12" s="8">
        <v>2</v>
      </c>
      <c r="G12" s="8"/>
      <c r="H12" s="8"/>
      <c r="I12" s="8"/>
      <c r="J12" s="8"/>
      <c r="K12" s="9"/>
      <c r="N12" s="1460"/>
      <c r="O12" s="261" t="s">
        <v>335</v>
      </c>
      <c r="P12" s="493">
        <f>U8*4</f>
        <v>101892</v>
      </c>
      <c r="Q12" s="1228"/>
      <c r="R12" s="1284"/>
      <c r="S12" s="1394"/>
      <c r="T12" s="1173"/>
      <c r="U12" s="1174"/>
      <c r="W12" s="1201" t="s">
        <v>513</v>
      </c>
      <c r="X12" s="1203"/>
      <c r="Y12" s="21"/>
    </row>
    <row r="13" spans="1:27" ht="14.25" thickBot="1">
      <c r="A13" s="402" t="str">
        <f>IF(A12=TRUE,"TRUE",IF(D13=1,"TRUE","FLASE"))</f>
        <v>TRUE</v>
      </c>
      <c r="B13" s="982" t="s">
        <v>950</v>
      </c>
      <c r="C13" s="68"/>
      <c r="D13" s="592"/>
      <c r="E13" s="42" t="s">
        <v>249</v>
      </c>
      <c r="F13" s="8"/>
      <c r="G13" s="8">
        <v>7</v>
      </c>
      <c r="H13" s="8">
        <v>7</v>
      </c>
      <c r="I13" s="8">
        <v>7</v>
      </c>
      <c r="J13" s="8">
        <v>7</v>
      </c>
      <c r="K13" s="9"/>
      <c r="N13" s="1800"/>
      <c r="O13" s="15" t="s">
        <v>259</v>
      </c>
      <c r="P13" s="145">
        <f>S10*4</f>
        <v>136464</v>
      </c>
      <c r="Q13" s="1229"/>
      <c r="R13" s="1515"/>
      <c r="S13" s="1395"/>
      <c r="T13" s="1170"/>
      <c r="U13" s="1171"/>
      <c r="W13" s="151" t="s">
        <v>138</v>
      </c>
      <c r="X13" s="3" t="s">
        <v>660</v>
      </c>
      <c r="Y13" s="918" t="s">
        <v>952</v>
      </c>
      <c r="Z13" s="690" t="s">
        <v>140</v>
      </c>
      <c r="AA13" s="4" t="s">
        <v>141</v>
      </c>
    </row>
    <row r="14" spans="1:27" ht="14.25" thickBot="1">
      <c r="A14" s="402" t="b">
        <v>0</v>
      </c>
      <c r="B14" s="17" t="s">
        <v>951</v>
      </c>
      <c r="C14" s="1077"/>
      <c r="D14" s="1078"/>
      <c r="E14" s="42" t="s">
        <v>250</v>
      </c>
      <c r="F14" s="8">
        <v>16</v>
      </c>
      <c r="G14" s="8"/>
      <c r="H14" s="8"/>
      <c r="I14" s="8">
        <v>9</v>
      </c>
      <c r="J14" s="8"/>
      <c r="K14" s="9">
        <v>1</v>
      </c>
      <c r="T14" s="402">
        <f>IF($A$11="true",$Y$11/(60/T7),0)</f>
        <v>0</v>
      </c>
      <c r="U14" s="402">
        <f>IF($A$13="true",$Y$14/(60/T7),0)</f>
        <v>3.581395348837209</v>
      </c>
      <c r="W14" s="14">
        <f>60/T67</f>
        <v>0.6976744186046512</v>
      </c>
      <c r="X14" s="15">
        <f>IF(A13="true",60/R68,0)</f>
        <v>4</v>
      </c>
      <c r="Y14" s="15">
        <f>W14*X14</f>
        <v>2.7906976744186047</v>
      </c>
      <c r="Z14" s="1086">
        <f>IF(A13="true",1.15,1)</f>
        <v>1.15</v>
      </c>
      <c r="AA14" s="16">
        <f>INT(U73*X14*B15)</f>
        <v>232900</v>
      </c>
    </row>
    <row r="15" spans="1:21" ht="14.25" thickBot="1">
      <c r="A15" s="486" t="str">
        <f>IF(A14=TRUE,"TRUE",IF(D15=1,"TRUE","FLASE"))</f>
        <v>FLASE</v>
      </c>
      <c r="B15" s="1080">
        <f>IF(A15="true",1.5,1)</f>
        <v>1</v>
      </c>
      <c r="C15" s="1079"/>
      <c r="D15" s="458"/>
      <c r="E15" s="7" t="s">
        <v>698</v>
      </c>
      <c r="F15" s="8"/>
      <c r="G15" s="8"/>
      <c r="H15" s="8"/>
      <c r="I15" s="8">
        <v>22</v>
      </c>
      <c r="J15" s="8"/>
      <c r="K15" s="9"/>
      <c r="N15" s="1158" t="s">
        <v>232</v>
      </c>
      <c r="O15" s="1159"/>
      <c r="P15" s="1159"/>
      <c r="Q15" s="1159"/>
      <c r="R15" s="1159"/>
      <c r="S15" s="1159"/>
      <c r="T15" s="1159"/>
      <c r="U15" s="1160"/>
    </row>
    <row r="16" spans="2:21" ht="14.25" thickBot="1">
      <c r="B16" s="136"/>
      <c r="C16" s="57"/>
      <c r="D16" s="473"/>
      <c r="E16" s="7" t="s">
        <v>587</v>
      </c>
      <c r="F16" s="8"/>
      <c r="G16" s="8"/>
      <c r="H16" s="8"/>
      <c r="I16" s="8"/>
      <c r="J16" s="8"/>
      <c r="K16" s="9"/>
      <c r="N16" s="89" t="s">
        <v>533</v>
      </c>
      <c r="O16" s="82">
        <f>D6</f>
        <v>30</v>
      </c>
      <c r="P16" s="142" t="s">
        <v>301</v>
      </c>
      <c r="Q16" s="606">
        <f>(200+2*O16)/100</f>
        <v>2.6</v>
      </c>
      <c r="R16" s="1668" t="s">
        <v>415</v>
      </c>
      <c r="S16" s="1669"/>
      <c r="T16" s="148">
        <v>79</v>
      </c>
      <c r="U16" s="138"/>
    </row>
    <row r="17" spans="2:21" ht="13.5">
      <c r="B17" s="136"/>
      <c r="C17" s="57"/>
      <c r="D17" s="139"/>
      <c r="E17" s="7" t="s">
        <v>697</v>
      </c>
      <c r="F17" s="8"/>
      <c r="G17" s="8"/>
      <c r="H17" s="8"/>
      <c r="I17" s="8"/>
      <c r="J17" s="8"/>
      <c r="K17" s="9"/>
      <c r="N17" s="1346" t="s">
        <v>529</v>
      </c>
      <c r="O17" s="134" t="s">
        <v>257</v>
      </c>
      <c r="P17" s="144">
        <f>MIN(INT(P23*1.5),ReadMe!$M$99)</f>
        <v>48151</v>
      </c>
      <c r="Q17" s="1699" t="s">
        <v>529</v>
      </c>
      <c r="R17" s="87" t="s">
        <v>257</v>
      </c>
      <c r="S17" s="155">
        <f>MIN(INT(P17*$E$45),ReadMe!$M$99)</f>
        <v>65003</v>
      </c>
      <c r="T17" s="1701" t="s">
        <v>529</v>
      </c>
      <c r="U17" s="1556">
        <f>INT(P18*(1-$G$45)+S18*$G$45)</f>
        <v>56770</v>
      </c>
    </row>
    <row r="18" spans="2:21" ht="13.5" customHeight="1">
      <c r="B18" s="22"/>
      <c r="C18" s="21"/>
      <c r="D18" s="138"/>
      <c r="E18" s="7" t="s">
        <v>260</v>
      </c>
      <c r="F18" s="8"/>
      <c r="G18" s="8"/>
      <c r="H18" s="8"/>
      <c r="I18" s="8">
        <v>5</v>
      </c>
      <c r="J18" s="8"/>
      <c r="K18" s="9"/>
      <c r="N18" s="1347"/>
      <c r="O18" s="43" t="s">
        <v>258</v>
      </c>
      <c r="P18" s="62">
        <f>MIN(INT(P24*1.5),ReadMe!$M$99)</f>
        <v>49419</v>
      </c>
      <c r="Q18" s="1700"/>
      <c r="R18" s="79" t="s">
        <v>258</v>
      </c>
      <c r="S18" s="156">
        <f>MIN(INT(P18*(($E$41+$F$41)/2)),ReadMe!$M$99)</f>
        <v>70422</v>
      </c>
      <c r="T18" s="1451"/>
      <c r="U18" s="1557"/>
    </row>
    <row r="19" spans="2:21" ht="14.25" thickBot="1">
      <c r="B19" s="22"/>
      <c r="C19" s="21"/>
      <c r="D19" s="138"/>
      <c r="E19" s="7" t="s">
        <v>261</v>
      </c>
      <c r="F19" s="8">
        <v>8</v>
      </c>
      <c r="G19" s="8"/>
      <c r="H19" s="8"/>
      <c r="I19" s="8">
        <v>8</v>
      </c>
      <c r="J19" s="8"/>
      <c r="K19" s="9"/>
      <c r="N19" s="1348"/>
      <c r="O19" s="15" t="s">
        <v>259</v>
      </c>
      <c r="P19" s="145">
        <f>MIN(INT(P25*1.5),ReadMe!$M$99)</f>
        <v>50686</v>
      </c>
      <c r="Q19" s="175" t="s">
        <v>549</v>
      </c>
      <c r="R19" s="86" t="s">
        <v>259</v>
      </c>
      <c r="S19" s="157">
        <f>MIN(INT(P19*$F$45),ReadMe!$M$99)</f>
        <v>76029</v>
      </c>
      <c r="T19" s="176" t="s">
        <v>335</v>
      </c>
      <c r="U19" s="1557"/>
    </row>
    <row r="20" spans="2:21" ht="13.5">
      <c r="B20" s="22"/>
      <c r="C20" s="21"/>
      <c r="D20" s="138"/>
      <c r="E20" s="7" t="s">
        <v>262</v>
      </c>
      <c r="F20" s="8">
        <v>5</v>
      </c>
      <c r="G20" s="8"/>
      <c r="H20" s="8"/>
      <c r="I20" s="8">
        <v>8</v>
      </c>
      <c r="J20" s="8"/>
      <c r="K20" s="9"/>
      <c r="N20" s="1227" t="s">
        <v>1135</v>
      </c>
      <c r="O20" s="84" t="s">
        <v>257</v>
      </c>
      <c r="P20" s="77">
        <f>P17*3</f>
        <v>144453</v>
      </c>
      <c r="Q20" s="1202" t="s">
        <v>268</v>
      </c>
      <c r="R20" s="1202"/>
      <c r="S20" s="1391">
        <f>(P21*($T$16-T29-U29)+($Y$7*(T16-T29-U29+$X$11+$X$14)*$X$3)+$AA$11+$AA$14)*$Z$14*$G$51</f>
        <v>15610988.741395347</v>
      </c>
      <c r="T20" s="1805"/>
      <c r="U20" s="1806"/>
    </row>
    <row r="21" spans="2:21" ht="13.5">
      <c r="B21" s="136"/>
      <c r="C21" s="57"/>
      <c r="D21" s="139"/>
      <c r="E21" s="7" t="s">
        <v>5</v>
      </c>
      <c r="F21" s="8"/>
      <c r="G21" s="8">
        <v>3</v>
      </c>
      <c r="H21" s="8">
        <v>3</v>
      </c>
      <c r="I21" s="8">
        <v>3</v>
      </c>
      <c r="J21" s="8">
        <v>3</v>
      </c>
      <c r="K21" s="9"/>
      <c r="N21" s="1228"/>
      <c r="O21" s="173" t="s">
        <v>335</v>
      </c>
      <c r="P21" s="477">
        <f>U17*3</f>
        <v>170310</v>
      </c>
      <c r="Q21" s="1457"/>
      <c r="R21" s="1457"/>
      <c r="S21" s="1807"/>
      <c r="T21" s="1808"/>
      <c r="U21" s="1809"/>
    </row>
    <row r="22" spans="1:21" ht="14.25" thickBot="1">
      <c r="A22" s="402"/>
      <c r="B22" s="136"/>
      <c r="C22" s="57"/>
      <c r="D22" s="139"/>
      <c r="E22" s="7" t="s">
        <v>5</v>
      </c>
      <c r="F22" s="8">
        <v>1</v>
      </c>
      <c r="G22" s="8">
        <v>1</v>
      </c>
      <c r="H22" s="8">
        <v>1</v>
      </c>
      <c r="I22" s="8">
        <v>1</v>
      </c>
      <c r="J22" s="8">
        <v>1</v>
      </c>
      <c r="K22" s="9"/>
      <c r="N22" s="1229"/>
      <c r="O22" s="92" t="s">
        <v>259</v>
      </c>
      <c r="P22" s="647">
        <f>S19*3</f>
        <v>228087</v>
      </c>
      <c r="Q22" s="1457"/>
      <c r="R22" s="1457"/>
      <c r="S22" s="1810"/>
      <c r="T22" s="1811"/>
      <c r="U22" s="1812"/>
    </row>
    <row r="23" spans="2:21" ht="13.5">
      <c r="B23" s="22"/>
      <c r="C23" s="21"/>
      <c r="D23" s="138"/>
      <c r="E23" s="7" t="s">
        <v>5</v>
      </c>
      <c r="F23" s="8">
        <v>1</v>
      </c>
      <c r="G23" s="8">
        <v>1</v>
      </c>
      <c r="H23" s="8">
        <v>1</v>
      </c>
      <c r="I23" s="8">
        <v>1</v>
      </c>
      <c r="J23" s="8">
        <v>1</v>
      </c>
      <c r="K23" s="9"/>
      <c r="N23" s="1227" t="s">
        <v>327</v>
      </c>
      <c r="O23" s="76" t="s">
        <v>257</v>
      </c>
      <c r="P23" s="521">
        <f>MIN(INT(($R$4*Q16)*(1+$B$38+$E$38+$B$56+$K$39)*$D$30*$N$5),ReadMe!$M$99)</f>
        <v>32101</v>
      </c>
      <c r="Q23" s="1234" t="s">
        <v>725</v>
      </c>
      <c r="R23" s="186" t="s">
        <v>257</v>
      </c>
      <c r="S23" s="155">
        <f>MIN(INT(P23*$E$45),ReadMe!$M$99)</f>
        <v>43336</v>
      </c>
      <c r="T23" s="1564" t="s">
        <v>323</v>
      </c>
      <c r="U23" s="1556">
        <f>INT(P24*(1-$G$45)+S24*$G$45)</f>
        <v>37846</v>
      </c>
    </row>
    <row r="24" spans="1:21" ht="14.25" thickBot="1">
      <c r="A24" s="402" t="b">
        <v>1</v>
      </c>
      <c r="B24" s="47"/>
      <c r="C24" s="491"/>
      <c r="D24" s="1009">
        <f>IF(A25="true",0.2,0)</f>
        <v>0.2</v>
      </c>
      <c r="E24" s="7" t="s">
        <v>5</v>
      </c>
      <c r="F24" s="8"/>
      <c r="G24" s="8"/>
      <c r="H24" s="8"/>
      <c r="I24" s="8"/>
      <c r="J24" s="8"/>
      <c r="K24" s="9"/>
      <c r="N24" s="1228"/>
      <c r="O24" s="43" t="s">
        <v>258</v>
      </c>
      <c r="P24" s="522">
        <f>INT((P23+P25)/2)</f>
        <v>32946</v>
      </c>
      <c r="Q24" s="1235"/>
      <c r="R24" s="79" t="s">
        <v>258</v>
      </c>
      <c r="S24" s="156">
        <f>MIN(INT(P24*(($E$41+$F$41)/2)),ReadMe!$M$99)</f>
        <v>46948</v>
      </c>
      <c r="T24" s="1565"/>
      <c r="U24" s="1557"/>
    </row>
    <row r="25" spans="1:21" ht="14.25" thickBot="1">
      <c r="A25" s="402" t="str">
        <f>IF(A24=TRUE,"TRUE",IF(D25=1,"TRUE","FLASE"))</f>
        <v>TRUE</v>
      </c>
      <c r="B25" s="474" t="s">
        <v>121</v>
      </c>
      <c r="C25" s="555"/>
      <c r="D25" s="577"/>
      <c r="E25" s="7" t="s">
        <v>1305</v>
      </c>
      <c r="F25" s="8"/>
      <c r="G25" s="8">
        <v>2</v>
      </c>
      <c r="H25" s="8">
        <v>2</v>
      </c>
      <c r="I25" s="8">
        <v>2</v>
      </c>
      <c r="J25" s="8">
        <v>2</v>
      </c>
      <c r="K25" s="9"/>
      <c r="N25" s="1229"/>
      <c r="O25" s="15" t="s">
        <v>259</v>
      </c>
      <c r="P25" s="523">
        <f>MIN(INT(($T$4*Q16)*(1+$B$38+$E$38+$B$56+$K$39)*$D$30*$N$5),ReadMe!$M$99)</f>
        <v>33791</v>
      </c>
      <c r="Q25" s="1236"/>
      <c r="R25" s="86" t="s">
        <v>259</v>
      </c>
      <c r="S25" s="157">
        <f>MIN(INT(P25*$F$45),ReadMe!$M$99)</f>
        <v>50686</v>
      </c>
      <c r="T25" s="1565"/>
      <c r="U25" s="1557"/>
    </row>
    <row r="26" spans="2:21" ht="13.5">
      <c r="B26" s="308" t="s">
        <v>120</v>
      </c>
      <c r="C26" s="551"/>
      <c r="D26" s="20">
        <v>30</v>
      </c>
      <c r="E26" s="7" t="s">
        <v>316</v>
      </c>
      <c r="F26" s="8"/>
      <c r="G26" s="8">
        <v>3</v>
      </c>
      <c r="H26" s="8">
        <v>3</v>
      </c>
      <c r="I26" s="8">
        <v>3</v>
      </c>
      <c r="J26" s="8">
        <v>3</v>
      </c>
      <c r="K26" s="9"/>
      <c r="N26" s="1227" t="s">
        <v>1135</v>
      </c>
      <c r="O26" s="84" t="s">
        <v>257</v>
      </c>
      <c r="P26" s="77">
        <f>P23*3</f>
        <v>96303</v>
      </c>
      <c r="Q26" s="1202" t="s">
        <v>268</v>
      </c>
      <c r="R26" s="1202"/>
      <c r="S26" s="1391">
        <f>(P27*($T$16-T29-U29)+($Y$7*(T16-T29-U29+$X$11+$X$14)*$X$3)+$AA$11+$AA$14)*$Z$14*$G$51</f>
        <v>10693147.248372093</v>
      </c>
      <c r="T26" s="1392"/>
      <c r="U26" s="1393"/>
    </row>
    <row r="27" spans="2:21" ht="13.5">
      <c r="B27" s="1801" t="s">
        <v>527</v>
      </c>
      <c r="C27" s="1802"/>
      <c r="D27" s="390">
        <f>D26</f>
        <v>30</v>
      </c>
      <c r="E27" s="7" t="s">
        <v>181</v>
      </c>
      <c r="F27" s="8"/>
      <c r="G27" s="8"/>
      <c r="H27" s="8"/>
      <c r="I27" s="8"/>
      <c r="J27" s="8"/>
      <c r="K27" s="9"/>
      <c r="N27" s="1228"/>
      <c r="O27" s="173" t="s">
        <v>335</v>
      </c>
      <c r="P27" s="477">
        <f>U23*3</f>
        <v>113538</v>
      </c>
      <c r="Q27" s="1457"/>
      <c r="R27" s="1457"/>
      <c r="S27" s="1394"/>
      <c r="T27" s="1173"/>
      <c r="U27" s="1174"/>
    </row>
    <row r="28" spans="2:21" ht="14.25" thickBot="1">
      <c r="B28" s="53" t="s">
        <v>310</v>
      </c>
      <c r="C28" s="559"/>
      <c r="D28" s="578">
        <f>IF(D26=0,75,80+ROUNDUP(D26/2,0))/100</f>
        <v>0.95</v>
      </c>
      <c r="E28" s="7" t="s">
        <v>317</v>
      </c>
      <c r="F28" s="8"/>
      <c r="G28" s="8"/>
      <c r="H28" s="8"/>
      <c r="I28" s="8"/>
      <c r="J28" s="8"/>
      <c r="K28" s="9"/>
      <c r="N28" s="1229"/>
      <c r="O28" s="92" t="s">
        <v>259</v>
      </c>
      <c r="P28" s="647">
        <f>S25*3</f>
        <v>152058</v>
      </c>
      <c r="Q28" s="1459"/>
      <c r="R28" s="1459"/>
      <c r="S28" s="1395"/>
      <c r="T28" s="1170"/>
      <c r="U28" s="1171"/>
    </row>
    <row r="29" spans="2:21" ht="14.25" customHeight="1" thickBot="1">
      <c r="B29" s="1803" t="s">
        <v>117</v>
      </c>
      <c r="C29" s="1804"/>
      <c r="D29" s="20">
        <v>15</v>
      </c>
      <c r="E29" s="7" t="s">
        <v>1153</v>
      </c>
      <c r="F29" s="8">
        <v>20</v>
      </c>
      <c r="G29" s="8"/>
      <c r="H29" s="8"/>
      <c r="I29" s="8"/>
      <c r="J29" s="8"/>
      <c r="K29" s="9"/>
      <c r="T29" s="402">
        <f>IF($A$11="true",$Y$11/(60/T16),0)</f>
        <v>0</v>
      </c>
      <c r="U29" s="402">
        <f>IF($A$13="true",$Y$14/(60/T16),0)</f>
        <v>3.6744186046511627</v>
      </c>
    </row>
    <row r="30" spans="2:21" ht="14.25" thickBot="1">
      <c r="B30" s="53" t="s">
        <v>302</v>
      </c>
      <c r="C30" s="559"/>
      <c r="D30" s="578">
        <f>(105+2*D29)/100</f>
        <v>1.35</v>
      </c>
      <c r="E30" s="7" t="s">
        <v>714</v>
      </c>
      <c r="F30" s="8"/>
      <c r="G30" s="8"/>
      <c r="H30" s="8"/>
      <c r="I30" s="8"/>
      <c r="J30" s="8"/>
      <c r="K30" s="9"/>
      <c r="N30" s="1158" t="s">
        <v>790</v>
      </c>
      <c r="O30" s="1159"/>
      <c r="P30" s="1159"/>
      <c r="Q30" s="1159"/>
      <c r="R30" s="1159"/>
      <c r="S30" s="1159"/>
      <c r="T30" s="1159"/>
      <c r="U30" s="1100" t="s">
        <v>1112</v>
      </c>
    </row>
    <row r="31" spans="2:21" ht="14.25" thickBot="1">
      <c r="B31" s="1428" t="s">
        <v>318</v>
      </c>
      <c r="C31" s="1429"/>
      <c r="D31" s="20">
        <v>9</v>
      </c>
      <c r="E31" s="216" t="s">
        <v>319</v>
      </c>
      <c r="F31" s="8">
        <v>0</v>
      </c>
      <c r="G31" s="40">
        <f>ROUNDDOWN(G3*D32%,0)</f>
        <v>0</v>
      </c>
      <c r="H31" s="40">
        <f>ROUNDDOWN(H3*D32%,0)</f>
        <v>0</v>
      </c>
      <c r="I31" s="40">
        <f>ROUNDDOWN(I3*D32%,0)</f>
        <v>39</v>
      </c>
      <c r="J31" s="40">
        <f>ROUNDDOWN(J3*D32%,0)</f>
        <v>0</v>
      </c>
      <c r="K31" s="9">
        <f>SUM(K6:K29)+D32</f>
        <v>6</v>
      </c>
      <c r="N31" s="89" t="s">
        <v>533</v>
      </c>
      <c r="O31" s="82">
        <f>D7</f>
        <v>30</v>
      </c>
      <c r="P31" s="142" t="s">
        <v>301</v>
      </c>
      <c r="Q31" s="606">
        <f>(550+4*O31)/100</f>
        <v>6.7</v>
      </c>
      <c r="R31" s="1668" t="s">
        <v>415</v>
      </c>
      <c r="S31" s="1669"/>
      <c r="T31" s="1099">
        <v>54</v>
      </c>
      <c r="U31" s="1101">
        <v>1</v>
      </c>
    </row>
    <row r="32" spans="2:21" ht="14.25" thickBot="1">
      <c r="B32" s="14" t="s">
        <v>263</v>
      </c>
      <c r="C32" s="538"/>
      <c r="D32" s="46">
        <f>ROUNDUP(D31/2,0)</f>
        <v>5</v>
      </c>
      <c r="E32" s="7" t="s">
        <v>264</v>
      </c>
      <c r="F32" s="43">
        <f>D33+D27</f>
        <v>30</v>
      </c>
      <c r="G32" s="43">
        <f>SUM(G4:G30)</f>
        <v>27</v>
      </c>
      <c r="H32" s="43">
        <f>SUM(H4:H30)</f>
        <v>27</v>
      </c>
      <c r="I32" s="43">
        <f>SUM(I4:I30)</f>
        <v>111</v>
      </c>
      <c r="J32" s="43">
        <f>SUM(J4:J30)</f>
        <v>33</v>
      </c>
      <c r="K32" s="588">
        <f>SUM(K3:K31)+D33</f>
        <v>7</v>
      </c>
      <c r="N32" s="1346" t="s">
        <v>529</v>
      </c>
      <c r="O32" s="134" t="s">
        <v>257</v>
      </c>
      <c r="P32" s="144">
        <f>MIN(INT(P36*1.5),ReadMe!$M$99)</f>
        <v>124084</v>
      </c>
      <c r="Q32" s="1699" t="s">
        <v>529</v>
      </c>
      <c r="R32" s="87" t="s">
        <v>257</v>
      </c>
      <c r="S32" s="155">
        <f>MIN(INT(P32*$E$45),ReadMe!$M$99)</f>
        <v>167513</v>
      </c>
      <c r="T32" s="1701" t="s">
        <v>529</v>
      </c>
      <c r="U32" s="1634">
        <f>INT(P33*(1-$G$45)+S33*$G$45)</f>
        <v>146293</v>
      </c>
    </row>
    <row r="33" spans="2:21" ht="14.25" thickBot="1">
      <c r="B33" s="17" t="s">
        <v>1378</v>
      </c>
      <c r="C33" s="195"/>
      <c r="D33" s="18">
        <v>0</v>
      </c>
      <c r="E33" s="14" t="s">
        <v>256</v>
      </c>
      <c r="F33" s="48">
        <f>SUM(F3:F32)</f>
        <v>261</v>
      </c>
      <c r="G33" s="48">
        <f>INT((G3+G31+G32)*(1+G36))</f>
        <v>31</v>
      </c>
      <c r="H33" s="48">
        <f>INT((H3+H31+H32)*(1+H36))</f>
        <v>31</v>
      </c>
      <c r="I33" s="48">
        <f>INT((I3+I31+I32)*(1+I36))</f>
        <v>1016</v>
      </c>
      <c r="J33" s="48">
        <f>INT((J3+J31+J32)*(1+J36))</f>
        <v>37</v>
      </c>
      <c r="K33" s="191">
        <f>($H$33*0.4+$J$33*0.8+$I$33*1.6+K32)*(1+$K$36)</f>
        <v>1674.6000000000001</v>
      </c>
      <c r="N33" s="1347"/>
      <c r="O33" s="43" t="s">
        <v>258</v>
      </c>
      <c r="P33" s="62">
        <f>MIN(INT(P37*1.5),ReadMe!$M$99)</f>
        <v>127350</v>
      </c>
      <c r="Q33" s="1700"/>
      <c r="R33" s="79" t="s">
        <v>258</v>
      </c>
      <c r="S33" s="156">
        <f>MIN(INT(P33*(($E$41+$F$41)/2)),ReadMe!$M$99)</f>
        <v>181473</v>
      </c>
      <c r="T33" s="1451"/>
      <c r="U33" s="1557"/>
    </row>
    <row r="34" spans="2:21" ht="14.25" thickBot="1">
      <c r="B34" s="1305" t="s">
        <v>981</v>
      </c>
      <c r="C34" s="1306"/>
      <c r="D34" s="1306"/>
      <c r="E34" s="1787"/>
      <c r="F34" s="1787"/>
      <c r="G34" s="1787"/>
      <c r="H34" s="1787"/>
      <c r="I34" s="1787"/>
      <c r="J34" s="1787"/>
      <c r="K34" s="1799"/>
      <c r="N34" s="1348"/>
      <c r="O34" s="15" t="s">
        <v>259</v>
      </c>
      <c r="P34" s="145">
        <f>MIN(INT(P38*1.5),ReadMe!$M$99)</f>
        <v>130615</v>
      </c>
      <c r="Q34" s="175" t="s">
        <v>549</v>
      </c>
      <c r="R34" s="86" t="s">
        <v>259</v>
      </c>
      <c r="S34" s="157">
        <f>MIN(INT(P34*$F$45),ReadMe!$M$99)</f>
        <v>195922</v>
      </c>
      <c r="T34" s="176" t="s">
        <v>335</v>
      </c>
      <c r="U34" s="1557"/>
    </row>
    <row r="35" spans="2:21" ht="14.25" thickBot="1">
      <c r="B35" s="1218" t="s">
        <v>762</v>
      </c>
      <c r="C35" s="1219"/>
      <c r="D35" s="1220"/>
      <c r="E35" s="1308" t="s">
        <v>1218</v>
      </c>
      <c r="F35" s="1309"/>
      <c r="G35" s="1" t="s">
        <v>986</v>
      </c>
      <c r="H35" s="3" t="s">
        <v>985</v>
      </c>
      <c r="I35" s="3" t="s">
        <v>984</v>
      </c>
      <c r="J35" s="3" t="s">
        <v>983</v>
      </c>
      <c r="K35" s="4" t="s">
        <v>987</v>
      </c>
      <c r="N35" s="1342" t="s">
        <v>292</v>
      </c>
      <c r="O35" s="1797"/>
      <c r="P35" s="1797"/>
      <c r="Q35" s="1797"/>
      <c r="R35" s="1471"/>
      <c r="S35" s="1670">
        <f>((U32*($T$31-T40-U40)+($Y$7*(T31-T40-U40+$X$11+$X$14)*$X$3)+$AA$11+$AA$14)*$Z$14+((U32*(T31-T40-U40))*(U31-1)))*$G$51</f>
        <v>9342891.864651162</v>
      </c>
      <c r="T35" s="1478"/>
      <c r="U35" s="1479"/>
    </row>
    <row r="36" spans="2:21" ht="14.25" thickBot="1">
      <c r="B36" s="1210">
        <v>0</v>
      </c>
      <c r="C36" s="1211"/>
      <c r="D36" s="1212"/>
      <c r="E36" s="1130">
        <v>0</v>
      </c>
      <c r="F36" s="1131"/>
      <c r="G36" s="542">
        <v>0</v>
      </c>
      <c r="H36" s="543">
        <v>0</v>
      </c>
      <c r="I36" s="543">
        <v>0.09</v>
      </c>
      <c r="J36" s="543">
        <v>0</v>
      </c>
      <c r="K36" s="544">
        <v>0</v>
      </c>
      <c r="N36" s="1227" t="s">
        <v>327</v>
      </c>
      <c r="O36" s="76" t="s">
        <v>257</v>
      </c>
      <c r="P36" s="521">
        <f>MIN(INT(($R$4*Q31)*(1+$B$38+$E$38+$B$56+$K$39)*$D$30*$N$5),ReadMe!$M$99)</f>
        <v>82723</v>
      </c>
      <c r="Q36" s="1234" t="s">
        <v>725</v>
      </c>
      <c r="R36" s="186" t="s">
        <v>257</v>
      </c>
      <c r="S36" s="155">
        <f>MIN(INT(P36*$E$45),ReadMe!$M$99)</f>
        <v>111676</v>
      </c>
      <c r="T36" s="1564" t="s">
        <v>323</v>
      </c>
      <c r="U36" s="1556">
        <f>INT(P37*(1-$G$45)+S37*$G$45)</f>
        <v>97528</v>
      </c>
    </row>
    <row r="37" spans="2:21" ht="13.5" customHeight="1" thickBot="1">
      <c r="B37" s="1221" t="s">
        <v>135</v>
      </c>
      <c r="C37" s="1166"/>
      <c r="D37" s="1177"/>
      <c r="E37" s="1261" t="s">
        <v>877</v>
      </c>
      <c r="F37" s="1262"/>
      <c r="N37" s="1228"/>
      <c r="O37" s="43" t="s">
        <v>258</v>
      </c>
      <c r="P37" s="522">
        <f>INT((P36+P38)/2)</f>
        <v>84900</v>
      </c>
      <c r="Q37" s="1235"/>
      <c r="R37" s="79" t="s">
        <v>258</v>
      </c>
      <c r="S37" s="156">
        <f>MIN(INT(P37*(($E$41+$F$41)/2)),ReadMe!$M$99)</f>
        <v>120982</v>
      </c>
      <c r="T37" s="1565"/>
      <c r="U37" s="1557"/>
    </row>
    <row r="38" spans="2:21" ht="14.25" thickBot="1">
      <c r="B38" s="1210">
        <v>0</v>
      </c>
      <c r="C38" s="1222"/>
      <c r="D38" s="1212"/>
      <c r="E38" s="1130">
        <v>0</v>
      </c>
      <c r="F38" s="1131"/>
      <c r="I38" s="1297" t="s">
        <v>1417</v>
      </c>
      <c r="J38" s="1298"/>
      <c r="K38" s="1299"/>
      <c r="N38" s="1229"/>
      <c r="O38" s="15" t="s">
        <v>259</v>
      </c>
      <c r="P38" s="523">
        <f>MIN(INT(($T$4*Q31)*(1+$B$38+$E$38+$B$56+$K$39)*$D$30*$N$5),ReadMe!$M$99)</f>
        <v>87077</v>
      </c>
      <c r="Q38" s="1236"/>
      <c r="R38" s="86" t="s">
        <v>259</v>
      </c>
      <c r="S38" s="157">
        <f>MIN(INT(P38*$F$45),ReadMe!$M$99)</f>
        <v>130615</v>
      </c>
      <c r="T38" s="1565"/>
      <c r="U38" s="1557"/>
    </row>
    <row r="39" spans="9:21" ht="14.25" thickBot="1">
      <c r="I39" s="14" t="s">
        <v>1410</v>
      </c>
      <c r="J39" s="15"/>
      <c r="K39" s="534">
        <v>0</v>
      </c>
      <c r="N39" s="1342" t="s">
        <v>291</v>
      </c>
      <c r="O39" s="1797"/>
      <c r="P39" s="1797"/>
      <c r="Q39" s="1797"/>
      <c r="R39" s="1471"/>
      <c r="S39" s="1670">
        <f>((U36*(T31-T40-U40)+($Y$7*(T31-T40-U40+$X$11+$X$14)*$X$3)+$AA$11+$AA$14)*$Z$14+((U36*(T31-T40-U40))*(U31-1)))*$G$51</f>
        <v>6455436.829767442</v>
      </c>
      <c r="T39" s="1478"/>
      <c r="U39" s="1479"/>
    </row>
    <row r="40" spans="2:21" ht="14.25" thickBot="1">
      <c r="B40" s="1280" t="s">
        <v>88</v>
      </c>
      <c r="C40" s="1281"/>
      <c r="D40" s="1281"/>
      <c r="E40" s="503" t="s">
        <v>257</v>
      </c>
      <c r="F40" s="19" t="s">
        <v>259</v>
      </c>
      <c r="G40" s="504" t="s">
        <v>1085</v>
      </c>
      <c r="T40" s="402">
        <f>IF($A$11="true",$Y$11/(60/T31),0)</f>
        <v>0</v>
      </c>
      <c r="U40" s="402">
        <f>IF($A$13="true",$Y$14/(60/T31),0)</f>
        <v>2.511627906976744</v>
      </c>
    </row>
    <row r="41" spans="2:21" ht="14.25" thickBot="1">
      <c r="B41" s="1213" t="s">
        <v>90</v>
      </c>
      <c r="C41" s="1214"/>
      <c r="D41" s="1215"/>
      <c r="E41" s="35">
        <f>(120+ROUNDUP(D26/2,0))/100</f>
        <v>1.35</v>
      </c>
      <c r="F41" s="507">
        <v>1.5</v>
      </c>
      <c r="G41" s="241">
        <v>0.35</v>
      </c>
      <c r="I41" s="1256" t="s">
        <v>438</v>
      </c>
      <c r="J41" s="1300"/>
      <c r="K41" s="1301"/>
      <c r="N41" s="1158" t="s">
        <v>118</v>
      </c>
      <c r="O41" s="1159"/>
      <c r="P41" s="1159"/>
      <c r="Q41" s="1159"/>
      <c r="R41" s="1159"/>
      <c r="S41" s="1159"/>
      <c r="T41" s="1159"/>
      <c r="U41" s="1100" t="s">
        <v>1112</v>
      </c>
    </row>
    <row r="42" spans="2:21" ht="14.25" thickBot="1">
      <c r="B42" s="1228" t="s">
        <v>86</v>
      </c>
      <c r="C42" s="1284"/>
      <c r="D42" s="516">
        <v>0</v>
      </c>
      <c r="E42" s="506"/>
      <c r="F42" s="505">
        <f>D42/100</f>
        <v>0</v>
      </c>
      <c r="G42" s="511">
        <f>IF(D42=0,0,(5+ROUNDUP(D42/2,0))/100)</f>
        <v>0</v>
      </c>
      <c r="I42" s="1256" t="s">
        <v>440</v>
      </c>
      <c r="J42" s="1257"/>
      <c r="K42" s="1258"/>
      <c r="N42" s="244" t="s">
        <v>533</v>
      </c>
      <c r="O42" s="189">
        <f>D8</f>
        <v>20</v>
      </c>
      <c r="P42" s="147" t="s">
        <v>301</v>
      </c>
      <c r="Q42" s="606">
        <f>(470+4*O42)/100</f>
        <v>5.5</v>
      </c>
      <c r="R42" s="1324" t="s">
        <v>415</v>
      </c>
      <c r="S42" s="1798"/>
      <c r="T42" s="148">
        <v>62</v>
      </c>
      <c r="U42" s="1101">
        <v>1</v>
      </c>
    </row>
    <row r="43" spans="1:21" ht="14.25" thickBot="1">
      <c r="A43" s="402" t="b">
        <v>0</v>
      </c>
      <c r="B43" s="1228" t="s">
        <v>87</v>
      </c>
      <c r="C43" s="1284"/>
      <c r="D43" s="512"/>
      <c r="E43" s="506"/>
      <c r="F43" s="505">
        <f>IF(H43="true",0.15,0)</f>
        <v>0</v>
      </c>
      <c r="G43" s="511">
        <f>IF(H43="true",0.1,0)</f>
        <v>0</v>
      </c>
      <c r="H43" s="402" t="str">
        <f>IF(A43=TRUE,"TRUE",IF(D43=1,"TRUE","FLASE"))</f>
        <v>FLASE</v>
      </c>
      <c r="I43" s="771" t="s">
        <v>437</v>
      </c>
      <c r="J43" s="205"/>
      <c r="K43" s="228">
        <v>0</v>
      </c>
      <c r="N43" s="1346" t="s">
        <v>529</v>
      </c>
      <c r="O43" s="134" t="s">
        <v>257</v>
      </c>
      <c r="P43" s="144">
        <f>MIN(INT(P47*1.5),ReadMe!$M$99)</f>
        <v>101860</v>
      </c>
      <c r="Q43" s="1699" t="s">
        <v>529</v>
      </c>
      <c r="R43" s="87" t="s">
        <v>257</v>
      </c>
      <c r="S43" s="155">
        <f>MIN(INT(P43*$E$45),ReadMe!$M$99)</f>
        <v>137511</v>
      </c>
      <c r="T43" s="1701" t="s">
        <v>529</v>
      </c>
      <c r="U43" s="1556">
        <f>INT(P44*(1-$G$45)+S44*$G$45)</f>
        <v>120091</v>
      </c>
    </row>
    <row r="44" spans="2:21" ht="14.25" thickBot="1">
      <c r="B44" s="1285" t="s">
        <v>89</v>
      </c>
      <c r="C44" s="1286"/>
      <c r="D44" s="1287"/>
      <c r="E44" s="513">
        <v>0</v>
      </c>
      <c r="F44" s="514">
        <v>0</v>
      </c>
      <c r="G44" s="515">
        <v>0</v>
      </c>
      <c r="N44" s="1347"/>
      <c r="O44" s="43" t="s">
        <v>258</v>
      </c>
      <c r="P44" s="62">
        <f>MIN(INT(P48*1.5),ReadMe!$M$99)</f>
        <v>104541</v>
      </c>
      <c r="Q44" s="1700"/>
      <c r="R44" s="79" t="s">
        <v>258</v>
      </c>
      <c r="S44" s="156">
        <f>MIN(INT(P44*(($E$41+$F$41)/2)),ReadMe!$M$99)</f>
        <v>148970</v>
      </c>
      <c r="T44" s="1451"/>
      <c r="U44" s="1557"/>
    </row>
    <row r="45" spans="2:21" ht="14.25" thickBot="1">
      <c r="B45" s="1290" t="s">
        <v>91</v>
      </c>
      <c r="C45" s="1291"/>
      <c r="D45" s="1292"/>
      <c r="E45" s="508">
        <f>E41+E43+E44</f>
        <v>1.35</v>
      </c>
      <c r="F45" s="509">
        <f>F41+MAX(F42,F43)+F44</f>
        <v>1.5</v>
      </c>
      <c r="G45" s="510">
        <f>G41+MAX(G42,G43)+G44</f>
        <v>0.35</v>
      </c>
      <c r="I45" s="1259" t="s">
        <v>128</v>
      </c>
      <c r="J45" s="1260"/>
      <c r="K45" s="791"/>
      <c r="L45" s="402" t="b">
        <v>0</v>
      </c>
      <c r="M45" s="486" t="str">
        <f>IF(L45=TRUE,"TRUE",IF(K45=1,"TRUE","FLASE"))</f>
        <v>FLASE</v>
      </c>
      <c r="N45" s="1348"/>
      <c r="O45" s="15" t="s">
        <v>259</v>
      </c>
      <c r="P45" s="145">
        <f>MIN(INT(P49*1.5),ReadMe!$M$99)</f>
        <v>107221</v>
      </c>
      <c r="Q45" s="175" t="s">
        <v>549</v>
      </c>
      <c r="R45" s="86" t="s">
        <v>259</v>
      </c>
      <c r="S45" s="157">
        <f>MIN(INT(P45*$F$45),ReadMe!$M$99)</f>
        <v>160831</v>
      </c>
      <c r="T45" s="176" t="s">
        <v>335</v>
      </c>
      <c r="U45" s="1557"/>
    </row>
    <row r="46" spans="2:21" ht="14.25" thickBot="1">
      <c r="B46" s="1216" t="s">
        <v>331</v>
      </c>
      <c r="C46" s="1199"/>
      <c r="D46" s="1200"/>
      <c r="E46" s="1253">
        <f>(($E$45+$F$45)/2-1)*$G$45+1</f>
        <v>1.14875</v>
      </c>
      <c r="F46" s="1254"/>
      <c r="G46" s="1255"/>
      <c r="I46" s="590" t="s">
        <v>1119</v>
      </c>
      <c r="J46" s="788"/>
      <c r="K46" s="789">
        <v>0</v>
      </c>
      <c r="N46" s="1342" t="s">
        <v>292</v>
      </c>
      <c r="O46" s="1797"/>
      <c r="P46" s="1797"/>
      <c r="Q46" s="1797"/>
      <c r="R46" s="1471"/>
      <c r="S46" s="1670">
        <f>((U43*($T$31-T51-U51)+($Y$7*(T42-T51-U51+$X$11+$X$14)*$X$3)+$AA$11+$AA$14)*$Z$14+((U43*(T42-T51-U51))*(U42-1)))*$G$51</f>
        <v>7796789.437674418</v>
      </c>
      <c r="T46" s="1478"/>
      <c r="U46" s="1479"/>
    </row>
    <row r="47" spans="9:21" ht="14.25" thickBot="1">
      <c r="I47" s="1251" t="s">
        <v>854</v>
      </c>
      <c r="J47" s="1252"/>
      <c r="K47" s="790">
        <f>IF(M45="true",IF(K46&gt;0,10+ROUNDUP(K46/3,0),10)/100,0)</f>
        <v>0</v>
      </c>
      <c r="L47" s="323"/>
      <c r="M47" s="323"/>
      <c r="N47" s="1227" t="s">
        <v>327</v>
      </c>
      <c r="O47" s="76" t="s">
        <v>257</v>
      </c>
      <c r="P47" s="521">
        <f>MIN(INT(($R$4*Q42)*(1+$B$38+$E$38+$B$56+$K$39)*$D$30*$N$5),ReadMe!$M$99)</f>
        <v>67907</v>
      </c>
      <c r="Q47" s="1234" t="s">
        <v>725</v>
      </c>
      <c r="R47" s="186" t="s">
        <v>257</v>
      </c>
      <c r="S47" s="155">
        <f>MIN(INT(P47*$E$45),ReadMe!$M$99)</f>
        <v>91674</v>
      </c>
      <c r="T47" s="1564" t="s">
        <v>323</v>
      </c>
      <c r="U47" s="1556">
        <f>INT(P48*(1-$G$45)+S48*$G$45)</f>
        <v>80060</v>
      </c>
    </row>
    <row r="48" spans="12:21" ht="14.25" thickBot="1">
      <c r="L48" s="323"/>
      <c r="M48" s="162"/>
      <c r="N48" s="1228"/>
      <c r="O48" s="43" t="s">
        <v>258</v>
      </c>
      <c r="P48" s="522">
        <f>INT((P47+P49)/2)</f>
        <v>69694</v>
      </c>
      <c r="Q48" s="1235"/>
      <c r="R48" s="79" t="s">
        <v>258</v>
      </c>
      <c r="S48" s="156">
        <f>MIN(INT(P48*(($E$41+$F$41)/2)),ReadMe!$M$99)</f>
        <v>99313</v>
      </c>
      <c r="T48" s="1565"/>
      <c r="U48" s="1557"/>
    </row>
    <row r="49" spans="2:21" ht="14.25" thickBot="1">
      <c r="B49" s="1282" t="s">
        <v>735</v>
      </c>
      <c r="C49" s="1283"/>
      <c r="D49" s="533">
        <v>125</v>
      </c>
      <c r="E49" s="1249" t="s">
        <v>736</v>
      </c>
      <c r="F49" s="1250"/>
      <c r="G49" s="25">
        <f>IF(D2&gt;D49,0,$D$49-$D$2)</f>
        <v>0</v>
      </c>
      <c r="I49" s="1137" t="s">
        <v>159</v>
      </c>
      <c r="J49" s="1138"/>
      <c r="K49" s="1139"/>
      <c r="N49" s="1229"/>
      <c r="O49" s="15" t="s">
        <v>259</v>
      </c>
      <c r="P49" s="523">
        <f>MIN(INT(($T$4*Q42)*(1+$B$38+$E$38+$B$56+$K$39)*$D$30*$N$5),ReadMe!$M$99)</f>
        <v>71481</v>
      </c>
      <c r="Q49" s="1236"/>
      <c r="R49" s="86" t="s">
        <v>259</v>
      </c>
      <c r="S49" s="157">
        <f>MIN(INT(P49*$F$45),ReadMe!$M$99)</f>
        <v>107221</v>
      </c>
      <c r="T49" s="1566"/>
      <c r="U49" s="1558"/>
    </row>
    <row r="50" spans="2:21" ht="14.25" thickBot="1">
      <c r="B50" s="1242" t="s">
        <v>769</v>
      </c>
      <c r="C50" s="1243"/>
      <c r="D50" s="9">
        <v>12</v>
      </c>
      <c r="E50" s="1242" t="s">
        <v>771</v>
      </c>
      <c r="F50" s="1243"/>
      <c r="G50" s="615">
        <f>IF(G49&gt;0,"-",D50)</f>
        <v>12</v>
      </c>
      <c r="I50" s="416" t="s">
        <v>160</v>
      </c>
      <c r="J50" s="539"/>
      <c r="K50" s="204">
        <v>0</v>
      </c>
      <c r="N50" s="1342" t="s">
        <v>291</v>
      </c>
      <c r="O50" s="1797"/>
      <c r="P50" s="1797"/>
      <c r="Q50" s="1797"/>
      <c r="R50" s="1471"/>
      <c r="S50" s="1670">
        <f>((U47*(T42-T51-U51)+($Y$7*(T42-T51-U51+$X$11+$X$14)*$X$3)+$AA$11+$AA$14)*$Z$14+((U47*(T42-T51-U51))*(U42-1)))*$G$51</f>
        <v>6180170.305116278</v>
      </c>
      <c r="T50" s="1478"/>
      <c r="U50" s="1479"/>
    </row>
    <row r="51" spans="2:21" ht="14.25" thickBot="1">
      <c r="B51" s="1293" t="s">
        <v>734</v>
      </c>
      <c r="C51" s="1294"/>
      <c r="D51" s="9">
        <v>0</v>
      </c>
      <c r="E51" s="1242" t="s">
        <v>770</v>
      </c>
      <c r="F51" s="1243"/>
      <c r="G51" s="511">
        <f>MAX((MIN(100+SQRT($K$28)-SQRT($D$45),100)-2*G49)/100,0)</f>
        <v>1</v>
      </c>
      <c r="I51" s="417" t="s">
        <v>161</v>
      </c>
      <c r="J51" s="540"/>
      <c r="K51" s="418">
        <f>IF(K50&gt;0,(K50+10)/100,0)</f>
        <v>0</v>
      </c>
      <c r="T51" s="402">
        <f>IF($A$11="true",$Y$11/(60/T42),0)</f>
        <v>0</v>
      </c>
      <c r="U51" s="402">
        <f>IF($A$13="true",$Y$14/(60/T42),0)</f>
        <v>2.883720930232558</v>
      </c>
    </row>
    <row r="52" spans="2:21" ht="14.25" thickBot="1">
      <c r="B52" s="1278" t="s">
        <v>979</v>
      </c>
      <c r="C52" s="1279"/>
      <c r="D52" s="534">
        <v>0.25</v>
      </c>
      <c r="E52" s="1197" t="s">
        <v>980</v>
      </c>
      <c r="F52" s="1198"/>
      <c r="G52" s="28">
        <f>1-(D52-ROUNDUP(D52*(K51+B36),2))</f>
        <v>0.75</v>
      </c>
      <c r="N52" s="1158" t="s">
        <v>791</v>
      </c>
      <c r="O52" s="1159"/>
      <c r="P52" s="1159"/>
      <c r="Q52" s="1159"/>
      <c r="R52" s="1159"/>
      <c r="S52" s="1159"/>
      <c r="T52" s="1159"/>
      <c r="U52" s="1160"/>
    </row>
    <row r="53" spans="4:21" ht="14.25" thickBot="1">
      <c r="D53" s="402">
        <f>$D$51*(1-($K$51+$B$36))</f>
        <v>0</v>
      </c>
      <c r="I53" s="1246" t="s">
        <v>79</v>
      </c>
      <c r="J53" s="1247"/>
      <c r="K53" s="1248"/>
      <c r="N53" s="89" t="s">
        <v>315</v>
      </c>
      <c r="O53" s="90">
        <f>D10</f>
        <v>10</v>
      </c>
      <c r="P53" s="146" t="s">
        <v>301</v>
      </c>
      <c r="Q53" s="600">
        <f>(380+4*O53)/100</f>
        <v>4.2</v>
      </c>
      <c r="R53" s="1344" t="s">
        <v>415</v>
      </c>
      <c r="S53" s="1345"/>
      <c r="T53" s="481">
        <v>60</v>
      </c>
      <c r="U53" s="82"/>
    </row>
    <row r="54" spans="2:21" ht="14.25" thickBot="1">
      <c r="B54" s="1153" t="s">
        <v>1084</v>
      </c>
      <c r="C54" s="1133"/>
      <c r="D54" s="1129"/>
      <c r="I54" s="1127" t="s">
        <v>988</v>
      </c>
      <c r="J54" s="1217"/>
      <c r="K54" s="468"/>
      <c r="L54" s="486" t="b">
        <v>0</v>
      </c>
      <c r="M54" s="486" t="str">
        <f>IF(L54=TRUE,"TRUE",IF(K54=1,"TRUE","FLASE"))</f>
        <v>FLASE</v>
      </c>
      <c r="N54" s="1007" t="s">
        <v>1240</v>
      </c>
      <c r="O54" s="1008">
        <f>(50+4*O53)/100</f>
        <v>0.9</v>
      </c>
      <c r="P54" s="71" t="s">
        <v>1241</v>
      </c>
      <c r="Q54" s="1006">
        <f>4+ROUNDDOWN(O53/5,0)</f>
        <v>6</v>
      </c>
      <c r="R54" s="21"/>
      <c r="S54" s="21"/>
      <c r="T54" s="290"/>
      <c r="U54" s="57"/>
    </row>
    <row r="55" spans="2:21" ht="14.25" thickBot="1">
      <c r="B55" s="1187" t="s">
        <v>877</v>
      </c>
      <c r="C55" s="1188"/>
      <c r="D55" s="1189"/>
      <c r="I55" s="1244" t="s">
        <v>989</v>
      </c>
      <c r="J55" s="1245"/>
      <c r="K55" s="469"/>
      <c r="L55" s="486" t="b">
        <v>0</v>
      </c>
      <c r="M55" s="486" t="str">
        <f>IF(L55=TRUE,"TRUE",IF(K55=1,"TRUE","FLASE"))</f>
        <v>FLASE</v>
      </c>
      <c r="N55" s="1" t="s">
        <v>551</v>
      </c>
      <c r="O55" s="3"/>
      <c r="P55" s="1005">
        <f>MIN(INT($P$4*O54),ReadMe!$M$99)</f>
        <v>11552</v>
      </c>
      <c r="Q55" s="605" t="s">
        <v>1243</v>
      </c>
      <c r="R55" s="3"/>
      <c r="S55" s="662">
        <f>P55*Q54</f>
        <v>69312</v>
      </c>
      <c r="T55" s="290"/>
      <c r="U55" s="57"/>
    </row>
    <row r="56" spans="2:21" ht="14.25" thickBot="1">
      <c r="B56" s="1194">
        <v>0</v>
      </c>
      <c r="C56" s="1195"/>
      <c r="D56" s="1196"/>
      <c r="I56" s="1240" t="s">
        <v>854</v>
      </c>
      <c r="J56" s="1241"/>
      <c r="K56" s="206">
        <f>IF(M54="TRUE",1.04,IF(M55="TRUE",1.02,1))</f>
        <v>1</v>
      </c>
      <c r="N56" s="14" t="s">
        <v>1244</v>
      </c>
      <c r="O56" s="15"/>
      <c r="P56" s="883">
        <f>MIN(INT(P55*1.5),ReadMe!$M$99)</f>
        <v>17328</v>
      </c>
      <c r="Q56" s="54" t="s">
        <v>1243</v>
      </c>
      <c r="R56" s="15"/>
      <c r="S56" s="663">
        <f>P56*Q54</f>
        <v>103968</v>
      </c>
      <c r="T56" s="290"/>
      <c r="U56" s="57"/>
    </row>
    <row r="57" spans="14:21" ht="14.25" thickBot="1">
      <c r="N57" s="1347" t="s">
        <v>529</v>
      </c>
      <c r="O57" s="907" t="s">
        <v>257</v>
      </c>
      <c r="P57" s="396">
        <f>MIN(INT(P61*1.5),ReadMe!$M$99)</f>
        <v>77784</v>
      </c>
      <c r="Q57" s="1700" t="s">
        <v>529</v>
      </c>
      <c r="R57" s="78" t="s">
        <v>257</v>
      </c>
      <c r="S57" s="613">
        <f>MIN(INT(P57*$E$45),ReadMe!$M$99)</f>
        <v>105008</v>
      </c>
      <c r="T57" s="1701" t="s">
        <v>529</v>
      </c>
      <c r="U57" s="1556">
        <f>INT(P58*(1-$G$45)+S58*$G$45)</f>
        <v>91704</v>
      </c>
    </row>
    <row r="58" spans="2:21" ht="14.25" thickBot="1">
      <c r="B58" s="1201" t="s">
        <v>265</v>
      </c>
      <c r="C58" s="1202"/>
      <c r="D58" s="1202"/>
      <c r="E58" s="1202"/>
      <c r="F58" s="1202"/>
      <c r="G58" s="1202"/>
      <c r="H58" s="1202"/>
      <c r="I58" s="1202"/>
      <c r="J58" s="1202"/>
      <c r="K58" s="1202"/>
      <c r="L58" s="1203"/>
      <c r="N58" s="1347"/>
      <c r="O58" s="43" t="s">
        <v>258</v>
      </c>
      <c r="P58" s="62">
        <f>MIN(INT(P62*1.5),ReadMe!$M$99)</f>
        <v>79830</v>
      </c>
      <c r="Q58" s="1700"/>
      <c r="R58" s="79" t="s">
        <v>258</v>
      </c>
      <c r="S58" s="156">
        <f>MIN(INT(P58*(($E$41+$F$41)/2)),ReadMe!$M$99)</f>
        <v>113757</v>
      </c>
      <c r="T58" s="1451"/>
      <c r="U58" s="1557"/>
    </row>
    <row r="59" spans="2:21" ht="14.25" thickBot="1">
      <c r="B59" s="1268" t="s">
        <v>954</v>
      </c>
      <c r="C59" s="1269"/>
      <c r="D59" s="1270"/>
      <c r="E59" s="1270"/>
      <c r="F59" s="1270"/>
      <c r="G59" s="1270"/>
      <c r="H59" s="1270"/>
      <c r="I59" s="1270"/>
      <c r="J59" s="1270"/>
      <c r="K59" s="1270"/>
      <c r="L59" s="1272"/>
      <c r="N59" s="1348"/>
      <c r="O59" s="15" t="s">
        <v>259</v>
      </c>
      <c r="P59" s="145">
        <f>MIN(INT(P63*1.5),ReadMe!$M$99)</f>
        <v>81877</v>
      </c>
      <c r="Q59" s="175" t="s">
        <v>549</v>
      </c>
      <c r="R59" s="86" t="s">
        <v>259</v>
      </c>
      <c r="S59" s="157">
        <f>MIN(INT(P59*$F$45),ReadMe!$M$99)</f>
        <v>122815</v>
      </c>
      <c r="T59" s="176" t="s">
        <v>335</v>
      </c>
      <c r="U59" s="1557"/>
    </row>
    <row r="60" spans="2:21" ht="13.5" customHeight="1" thickBot="1">
      <c r="B60" s="1273" t="s">
        <v>955</v>
      </c>
      <c r="C60" s="1274"/>
      <c r="D60" s="1275"/>
      <c r="E60" s="1275"/>
      <c r="F60" s="1275"/>
      <c r="G60" s="1275"/>
      <c r="H60" s="1275"/>
      <c r="I60" s="1275"/>
      <c r="J60" s="1275"/>
      <c r="K60" s="1275"/>
      <c r="L60" s="1277"/>
      <c r="N60" s="1342" t="s">
        <v>1396</v>
      </c>
      <c r="O60" s="1420"/>
      <c r="P60" s="1420"/>
      <c r="Q60" s="1420"/>
      <c r="R60" s="1420"/>
      <c r="S60" s="1670">
        <f>U57*T53*$G$51+($Y$7*T53*$X$3)+P56*60</f>
        <v>6930072</v>
      </c>
      <c r="T60" s="1478"/>
      <c r="U60" s="1479"/>
    </row>
    <row r="61" spans="2:21" ht="13.5">
      <c r="B61" s="1273" t="s">
        <v>970</v>
      </c>
      <c r="C61" s="1274"/>
      <c r="D61" s="1275"/>
      <c r="E61" s="1275"/>
      <c r="F61" s="1275"/>
      <c r="G61" s="1275"/>
      <c r="H61" s="1275"/>
      <c r="I61" s="1275"/>
      <c r="J61" s="1275"/>
      <c r="K61" s="1275"/>
      <c r="L61" s="1277"/>
      <c r="N61" s="1227" t="s">
        <v>327</v>
      </c>
      <c r="O61" s="76" t="s">
        <v>257</v>
      </c>
      <c r="P61" s="521">
        <f>MIN(INT(($R$4*Q53)*(1+$B$38+$E$38+$B$56+$K$39)*$D$30),ReadMe!$M$99)</f>
        <v>51856</v>
      </c>
      <c r="Q61" s="1234" t="s">
        <v>725</v>
      </c>
      <c r="R61" s="186" t="s">
        <v>257</v>
      </c>
      <c r="S61" s="155">
        <f>MIN(INT(P61*$E$45),ReadMe!$M$99)</f>
        <v>70005</v>
      </c>
      <c r="T61" s="1564" t="s">
        <v>323</v>
      </c>
      <c r="U61" s="1556">
        <f>INT(P62*(1-$G$45)+S62*$G$45)</f>
        <v>61136</v>
      </c>
    </row>
    <row r="62" spans="2:21" ht="13.5">
      <c r="B62" s="1553" t="s">
        <v>554</v>
      </c>
      <c r="C62" s="1554"/>
      <c r="D62" s="1554"/>
      <c r="E62" s="1554"/>
      <c r="F62" s="1554"/>
      <c r="G62" s="1554"/>
      <c r="H62" s="1554"/>
      <c r="I62" s="1554"/>
      <c r="J62" s="1554"/>
      <c r="K62" s="1554"/>
      <c r="L62" s="1555"/>
      <c r="N62" s="1228"/>
      <c r="O62" s="43" t="s">
        <v>258</v>
      </c>
      <c r="P62" s="522">
        <f>INT((P61+P63)/2)</f>
        <v>53220</v>
      </c>
      <c r="Q62" s="1235"/>
      <c r="R62" s="79" t="s">
        <v>258</v>
      </c>
      <c r="S62" s="156">
        <f>MIN(INT(P62*(($E$41+$F$41)/2)),ReadMe!$M$99)</f>
        <v>75838</v>
      </c>
      <c r="T62" s="1565"/>
      <c r="U62" s="1557"/>
    </row>
    <row r="63" spans="2:21" ht="14.25" thickBot="1">
      <c r="B63" s="1273" t="s">
        <v>792</v>
      </c>
      <c r="C63" s="1274"/>
      <c r="D63" s="1275"/>
      <c r="E63" s="1275"/>
      <c r="F63" s="1275"/>
      <c r="G63" s="1275"/>
      <c r="H63" s="1275"/>
      <c r="I63" s="1275"/>
      <c r="J63" s="1275"/>
      <c r="K63" s="1275"/>
      <c r="L63" s="1277"/>
      <c r="N63" s="1229"/>
      <c r="O63" s="15" t="s">
        <v>259</v>
      </c>
      <c r="P63" s="523">
        <f>MIN(INT(($T$4*Q53)*(1+$B$38+$E$38+$B$56+$K$39)*$D$30),ReadMe!$M$99)</f>
        <v>54585</v>
      </c>
      <c r="Q63" s="1236"/>
      <c r="R63" s="86" t="s">
        <v>259</v>
      </c>
      <c r="S63" s="157">
        <f>MIN(INT(P63*$F$45),ReadMe!$M$99)</f>
        <v>81877</v>
      </c>
      <c r="T63" s="1565"/>
      <c r="U63" s="1557"/>
    </row>
    <row r="64" spans="2:21" ht="14.25" thickBot="1">
      <c r="B64" s="1273" t="s">
        <v>793</v>
      </c>
      <c r="C64" s="1274"/>
      <c r="D64" s="1275"/>
      <c r="E64" s="1275"/>
      <c r="F64" s="1275"/>
      <c r="G64" s="1275"/>
      <c r="H64" s="1275"/>
      <c r="I64" s="1275"/>
      <c r="J64" s="1275"/>
      <c r="K64" s="1275"/>
      <c r="L64" s="1277"/>
      <c r="N64" s="1342" t="s">
        <v>1395</v>
      </c>
      <c r="O64" s="1420"/>
      <c r="P64" s="1420"/>
      <c r="Q64" s="1420"/>
      <c r="R64" s="1420"/>
      <c r="S64" s="1670">
        <f>U61*T53*$G$51+($Y$7*T53*$X$3)+P55*60</f>
        <v>4749432</v>
      </c>
      <c r="T64" s="1478"/>
      <c r="U64" s="1479"/>
    </row>
    <row r="65" spans="2:12" ht="13.5" customHeight="1" thickBot="1">
      <c r="B65" s="1273" t="s">
        <v>1270</v>
      </c>
      <c r="C65" s="1274"/>
      <c r="D65" s="1275"/>
      <c r="E65" s="1275"/>
      <c r="F65" s="1275"/>
      <c r="G65" s="1275"/>
      <c r="H65" s="1275"/>
      <c r="I65" s="1275"/>
      <c r="J65" s="1275"/>
      <c r="K65" s="1275"/>
      <c r="L65" s="1277"/>
    </row>
    <row r="66" spans="2:21" ht="14.25" thickBot="1">
      <c r="B66" s="1263" t="s">
        <v>1271</v>
      </c>
      <c r="C66" s="1264"/>
      <c r="D66" s="1265"/>
      <c r="E66" s="1265"/>
      <c r="F66" s="1265"/>
      <c r="G66" s="1265"/>
      <c r="H66" s="1265"/>
      <c r="I66" s="1265"/>
      <c r="J66" s="1265"/>
      <c r="K66" s="1265"/>
      <c r="L66" s="1267"/>
      <c r="N66" s="1158" t="s">
        <v>973</v>
      </c>
      <c r="O66" s="1159"/>
      <c r="P66" s="1159"/>
      <c r="Q66" s="1159"/>
      <c r="R66" s="1159"/>
      <c r="S66" s="1159"/>
      <c r="T66" s="1159"/>
      <c r="U66" s="1160"/>
    </row>
    <row r="67" spans="14:20" ht="14.25" thickBot="1">
      <c r="N67" s="142" t="s">
        <v>315</v>
      </c>
      <c r="O67" s="704">
        <f>D12</f>
        <v>10</v>
      </c>
      <c r="P67" s="1081" t="s">
        <v>301</v>
      </c>
      <c r="Q67" s="606">
        <f>(340+6*O67)/100</f>
        <v>4</v>
      </c>
      <c r="R67" s="1141" t="s">
        <v>415</v>
      </c>
      <c r="S67" s="1345"/>
      <c r="T67" s="481">
        <v>86</v>
      </c>
    </row>
    <row r="68" spans="14:18" ht="14.25" thickBot="1">
      <c r="N68" s="17" t="s">
        <v>877</v>
      </c>
      <c r="O68" s="1077"/>
      <c r="P68" s="1082">
        <f>(5+O67)/100</f>
        <v>0.15</v>
      </c>
      <c r="Q68" s="1077" t="s">
        <v>872</v>
      </c>
      <c r="R68" s="83">
        <f>5+INT(D12/5)*5</f>
        <v>15</v>
      </c>
    </row>
    <row r="69" spans="14:21" ht="13.5">
      <c r="N69" s="1347" t="s">
        <v>529</v>
      </c>
      <c r="O69" s="907" t="s">
        <v>257</v>
      </c>
      <c r="P69" s="396">
        <f>MIN(INT(P73*1.5),ReadMe!$M$99)</f>
        <v>74080</v>
      </c>
      <c r="Q69" s="1700" t="s">
        <v>529</v>
      </c>
      <c r="R69" s="78" t="s">
        <v>257</v>
      </c>
      <c r="S69" s="155">
        <f>MIN(INT(P69*$E$45),ReadMe!$M$99)</f>
        <v>100008</v>
      </c>
      <c r="T69" s="1701" t="s">
        <v>529</v>
      </c>
      <c r="U69" s="1556">
        <f>INT(P70*(1-$G$45)+S70*$G$45)</f>
        <v>87338</v>
      </c>
    </row>
    <row r="70" spans="14:21" ht="13.5">
      <c r="N70" s="1347"/>
      <c r="O70" s="43" t="s">
        <v>258</v>
      </c>
      <c r="P70" s="62">
        <f>MIN(INT(P74*1.5),ReadMe!$M$99)</f>
        <v>76029</v>
      </c>
      <c r="Q70" s="1700"/>
      <c r="R70" s="79" t="s">
        <v>258</v>
      </c>
      <c r="S70" s="156">
        <f>MIN(INT(P70*(($E$41+$F$41)/2)),ReadMe!$M$99)</f>
        <v>108341</v>
      </c>
      <c r="T70" s="1451"/>
      <c r="U70" s="1557"/>
    </row>
    <row r="71" spans="14:21" ht="14.25" thickBot="1">
      <c r="N71" s="1348"/>
      <c r="O71" s="15" t="s">
        <v>259</v>
      </c>
      <c r="P71" s="145">
        <f>MIN(INT(P75*1.5),ReadMe!$M$99)</f>
        <v>77979</v>
      </c>
      <c r="Q71" s="175" t="s">
        <v>549</v>
      </c>
      <c r="R71" s="86" t="s">
        <v>259</v>
      </c>
      <c r="S71" s="157">
        <f>MIN(INT(P71*$F$45),ReadMe!$M$99)</f>
        <v>116968</v>
      </c>
      <c r="T71" s="176" t="s">
        <v>335</v>
      </c>
      <c r="U71" s="1557"/>
    </row>
    <row r="72" spans="14:21" ht="14.25" thickBot="1">
      <c r="N72" s="1342" t="s">
        <v>292</v>
      </c>
      <c r="O72" s="1420"/>
      <c r="P72" s="1420"/>
      <c r="Q72" s="1420"/>
      <c r="R72" s="1420"/>
      <c r="S72" s="1670">
        <f>U69*(1+P68)*T67*$G$51+($Y$7*T53*$X$3)</f>
        <v>9025880.2</v>
      </c>
      <c r="T72" s="1478"/>
      <c r="U72" s="1479"/>
    </row>
    <row r="73" spans="14:21" ht="13.5" customHeight="1">
      <c r="N73" s="1227" t="s">
        <v>327</v>
      </c>
      <c r="O73" s="76" t="s">
        <v>257</v>
      </c>
      <c r="P73" s="521">
        <f>MIN(INT(($R$4*Q67)*(1+$B$38+$E$38+$B$56+$K$39)*$D$30),ReadMe!$M$99)</f>
        <v>49387</v>
      </c>
      <c r="Q73" s="1234" t="s">
        <v>725</v>
      </c>
      <c r="R73" s="186" t="s">
        <v>257</v>
      </c>
      <c r="S73" s="155">
        <f>MIN(INT(P73*$E$45),ReadMe!$M$99)</f>
        <v>66672</v>
      </c>
      <c r="T73" s="1564" t="s">
        <v>323</v>
      </c>
      <c r="U73" s="1556">
        <f>INT(P74*(1-$G$45)+S74*$G$45)</f>
        <v>58225</v>
      </c>
    </row>
    <row r="74" spans="14:21" ht="13.5">
      <c r="N74" s="1228"/>
      <c r="O74" s="43" t="s">
        <v>258</v>
      </c>
      <c r="P74" s="522">
        <f>INT((P73+P75)/2)</f>
        <v>50686</v>
      </c>
      <c r="Q74" s="1235"/>
      <c r="R74" s="79" t="s">
        <v>258</v>
      </c>
      <c r="S74" s="156">
        <f>MIN(INT(P74*(($E$41+$F$41)/2)),ReadMe!$M$99)</f>
        <v>72227</v>
      </c>
      <c r="T74" s="1565"/>
      <c r="U74" s="1557"/>
    </row>
    <row r="75" spans="14:21" ht="14.25" thickBot="1">
      <c r="N75" s="1229"/>
      <c r="O75" s="15" t="s">
        <v>259</v>
      </c>
      <c r="P75" s="523">
        <f>MIN(INT(($T$4*Q67)*(1+$B$38+$E$38+$B$56+$K$39)*$D$30),ReadMe!$M$99)</f>
        <v>51986</v>
      </c>
      <c r="Q75" s="1236"/>
      <c r="R75" s="86" t="s">
        <v>259</v>
      </c>
      <c r="S75" s="157">
        <f>MIN(INT(P75*$F$45),ReadMe!$M$99)</f>
        <v>77979</v>
      </c>
      <c r="T75" s="1565"/>
      <c r="U75" s="1557"/>
    </row>
    <row r="76" spans="14:21" ht="14.25" thickBot="1">
      <c r="N76" s="1342" t="s">
        <v>291</v>
      </c>
      <c r="O76" s="1420"/>
      <c r="P76" s="1420"/>
      <c r="Q76" s="1420"/>
      <c r="R76" s="1420"/>
      <c r="S76" s="1670">
        <f>U73*(1+P68)*T67*$G$51+($Y$7*T53*$X$3)</f>
        <v>6146604.5</v>
      </c>
      <c r="T76" s="1478"/>
      <c r="U76" s="1479"/>
    </row>
    <row r="77" ht="14.25" thickBot="1"/>
    <row r="78" spans="14:21" ht="13.5" customHeight="1" thickBot="1">
      <c r="N78" s="1158" t="s">
        <v>754</v>
      </c>
      <c r="O78" s="1159"/>
      <c r="P78" s="1159"/>
      <c r="Q78" s="1159"/>
      <c r="R78" s="1376"/>
      <c r="S78" s="1376"/>
      <c r="T78" s="1376"/>
      <c r="U78" s="1406"/>
    </row>
    <row r="79" spans="14:21" ht="14.25" thickBot="1">
      <c r="N79" s="244" t="s">
        <v>320</v>
      </c>
      <c r="O79" s="189">
        <f>D9</f>
        <v>30</v>
      </c>
      <c r="P79" s="147" t="s">
        <v>301</v>
      </c>
      <c r="Q79" s="598">
        <f>(1200+20*O79)/100</f>
        <v>18</v>
      </c>
      <c r="R79" s="707" t="s">
        <v>65</v>
      </c>
      <c r="S79" s="708">
        <f>(5+INT(O79/2))/100</f>
        <v>0.2</v>
      </c>
      <c r="T79" s="17" t="s">
        <v>874</v>
      </c>
      <c r="U79" s="678">
        <f>50-2*INT(O79/2)</f>
        <v>20</v>
      </c>
    </row>
    <row r="80" spans="14:21" ht="13.5">
      <c r="N80" s="1346" t="s">
        <v>529</v>
      </c>
      <c r="O80" s="134" t="s">
        <v>257</v>
      </c>
      <c r="P80" s="144">
        <f>MIN(INT(P83*1.5),ReadMe!$M$99)</f>
        <v>333361</v>
      </c>
      <c r="Q80" s="1699" t="s">
        <v>529</v>
      </c>
      <c r="R80" s="78" t="s">
        <v>257</v>
      </c>
      <c r="S80" s="613">
        <f>MIN(INT(P80*$E$45),ReadMe!$M$99)</f>
        <v>450037</v>
      </c>
      <c r="T80" s="1451" t="s">
        <v>529</v>
      </c>
      <c r="U80" s="1634">
        <f>INT(P81*(1-($G$45+S79))+S81*($G$45+S79))</f>
        <v>422106</v>
      </c>
    </row>
    <row r="81" spans="14:21" ht="13.5">
      <c r="N81" s="1347"/>
      <c r="O81" s="43" t="s">
        <v>258</v>
      </c>
      <c r="P81" s="62">
        <f>MIN(INT(P84*1.5),ReadMe!$M$99)</f>
        <v>342133</v>
      </c>
      <c r="Q81" s="1700"/>
      <c r="R81" s="79" t="s">
        <v>258</v>
      </c>
      <c r="S81" s="156">
        <f>MIN(INT(P81*(($E$41+$F$41)/2)),ReadMe!$M$99)</f>
        <v>487539</v>
      </c>
      <c r="T81" s="1451"/>
      <c r="U81" s="1557"/>
    </row>
    <row r="82" spans="14:21" ht="14.25" thickBot="1">
      <c r="N82" s="1348"/>
      <c r="O82" s="15" t="s">
        <v>259</v>
      </c>
      <c r="P82" s="145">
        <f>MIN(INT(P85*1.5),ReadMe!$M$99)</f>
        <v>350907</v>
      </c>
      <c r="Q82" s="175" t="s">
        <v>549</v>
      </c>
      <c r="R82" s="86" t="s">
        <v>259</v>
      </c>
      <c r="S82" s="157">
        <f>MIN(INT(P82*$F$45),ReadMe!$M$99)</f>
        <v>526360</v>
      </c>
      <c r="T82" s="176" t="s">
        <v>335</v>
      </c>
      <c r="U82" s="1557"/>
    </row>
    <row r="83" spans="14:21" ht="13.5">
      <c r="N83" s="1227" t="s">
        <v>327</v>
      </c>
      <c r="O83" s="76" t="s">
        <v>257</v>
      </c>
      <c r="P83" s="521">
        <f>MIN(INT(($R$4*Q79)*(1+$B$38+$E$38+$B$56+$K$39)*$D$30),ReadMe!$M$99)</f>
        <v>222241</v>
      </c>
      <c r="Q83" s="1234" t="s">
        <v>725</v>
      </c>
      <c r="R83" s="186" t="s">
        <v>257</v>
      </c>
      <c r="S83" s="155">
        <f>MIN(INT(P83*$E$45),ReadMe!$M$99)</f>
        <v>300025</v>
      </c>
      <c r="T83" s="1564" t="s">
        <v>323</v>
      </c>
      <c r="U83" s="1556">
        <f>INT(P84*(1-($G$45+S79))+S84*($G$45+S79))</f>
        <v>281404</v>
      </c>
    </row>
    <row r="84" spans="14:21" ht="13.5">
      <c r="N84" s="1228"/>
      <c r="O84" s="43" t="s">
        <v>258</v>
      </c>
      <c r="P84" s="522">
        <f>INT((P83+P85)/2)</f>
        <v>228089</v>
      </c>
      <c r="Q84" s="1235"/>
      <c r="R84" s="79" t="s">
        <v>258</v>
      </c>
      <c r="S84" s="156">
        <f>MIN(INT(P84*(($E$41+$F$41)/2)),ReadMe!$M$99)</f>
        <v>325026</v>
      </c>
      <c r="T84" s="1565"/>
      <c r="U84" s="1557"/>
    </row>
    <row r="85" spans="14:21" ht="14.25" thickBot="1">
      <c r="N85" s="1229"/>
      <c r="O85" s="15" t="s">
        <v>259</v>
      </c>
      <c r="P85" s="523">
        <f>MIN(INT(($T$4*Q79)*(1+$B$38+$E$38+$B$56+$K$39)*$D$30),ReadMe!$M$99)</f>
        <v>233938</v>
      </c>
      <c r="Q85" s="1236"/>
      <c r="R85" s="86" t="s">
        <v>259</v>
      </c>
      <c r="S85" s="157">
        <f>MIN(INT(P85*$F$45),ReadMe!$M$99)</f>
        <v>350907</v>
      </c>
      <c r="T85" s="1566"/>
      <c r="U85" s="1558"/>
    </row>
    <row r="86" ht="14.25" thickBot="1"/>
    <row r="87" spans="14:19" ht="14.25" thickBot="1">
      <c r="N87" s="1237" t="s">
        <v>1405</v>
      </c>
      <c r="O87" s="1238"/>
      <c r="P87" s="1386"/>
      <c r="Q87" s="1386"/>
      <c r="R87" s="1386"/>
      <c r="S87" s="1239"/>
    </row>
    <row r="88" spans="14:18" ht="13.5" customHeight="1" thickBot="1">
      <c r="N88" s="465" t="s">
        <v>310</v>
      </c>
      <c r="O88" s="463">
        <v>0.75</v>
      </c>
      <c r="P88" s="1305" t="s">
        <v>1051</v>
      </c>
      <c r="Q88" s="1306"/>
      <c r="R88" s="313" t="s">
        <v>165</v>
      </c>
    </row>
    <row r="89" spans="14:19" ht="14.25" thickBot="1">
      <c r="N89" s="1201" t="s">
        <v>1294</v>
      </c>
      <c r="O89" s="1180"/>
      <c r="P89" s="709">
        <v>1</v>
      </c>
      <c r="Q89" s="1465" t="s">
        <v>1334</v>
      </c>
      <c r="R89" s="1466"/>
      <c r="S89" s="313">
        <v>1</v>
      </c>
    </row>
    <row r="90" spans="14:19" ht="13.5">
      <c r="N90" s="1227" t="s">
        <v>327</v>
      </c>
      <c r="O90" s="76" t="s">
        <v>257</v>
      </c>
      <c r="P90" s="527">
        <f>MIN(INT(($R$4*P89)*(1+$B$38+$E$38+$B$56+$K$39)*$D$30*IF(R88="火",$N$5,IF(R88="毒",$O$5,IF(R88="氷",$P$5,IF(R88="雷",$Q$5))))),ReadMe!$M$99)</f>
        <v>12346</v>
      </c>
      <c r="Q90" s="1653" t="s">
        <v>725</v>
      </c>
      <c r="R90" s="186" t="s">
        <v>257</v>
      </c>
      <c r="S90" s="155">
        <f>MIN(INT(P90*$E$45),ReadMe!$M$99)</f>
        <v>16667</v>
      </c>
    </row>
    <row r="91" spans="14:19" ht="13.5">
      <c r="N91" s="1228"/>
      <c r="O91" s="43" t="s">
        <v>258</v>
      </c>
      <c r="P91" s="528">
        <f>INT((P90+P92)/2)</f>
        <v>12671</v>
      </c>
      <c r="Q91" s="1654"/>
      <c r="R91" s="79" t="s">
        <v>258</v>
      </c>
      <c r="S91" s="156">
        <f>MIN(INT(P91*(($E$41+$F$41)/2)),ReadMe!$M$99)</f>
        <v>18056</v>
      </c>
    </row>
    <row r="92" spans="14:19" ht="14.25" thickBot="1">
      <c r="N92" s="1229"/>
      <c r="O92" s="15" t="s">
        <v>259</v>
      </c>
      <c r="P92" s="529">
        <f>MIN(INT(($T$4*P89)*(1+$B$38+$E$38+$B$56+$K$39)*$D$30*IF(R88="火",$N$5,IF(R88="毒",$O$5,IF(R88="氷",$P$5,IF(R88="雷",$Q$5))))),ReadMe!$M$99)</f>
        <v>12996</v>
      </c>
      <c r="Q92" s="1655"/>
      <c r="R92" s="86" t="s">
        <v>259</v>
      </c>
      <c r="S92" s="157">
        <f>MIN(INT(P92*$F$45),ReadMe!$M$99)</f>
        <v>19494</v>
      </c>
    </row>
    <row r="93" spans="14:19" ht="13.5" customHeight="1" thickBot="1">
      <c r="N93" s="1230" t="s">
        <v>323</v>
      </c>
      <c r="O93" s="1231"/>
      <c r="P93" s="1232"/>
      <c r="Q93" s="1302">
        <f>INT(P91*(1-$G$42)+S91*$G$42)</f>
        <v>12671</v>
      </c>
      <c r="R93" s="1303"/>
      <c r="S93" s="1304"/>
    </row>
    <row r="94" spans="14:19" ht="14.25" thickBot="1">
      <c r="N94" s="1302" t="s">
        <v>726</v>
      </c>
      <c r="O94" s="1303"/>
      <c r="P94" s="1304"/>
      <c r="Q94" s="1489">
        <f>Q93*S89</f>
        <v>12671</v>
      </c>
      <c r="R94" s="1463"/>
      <c r="S94" s="1464"/>
    </row>
  </sheetData>
  <sheetProtection/>
  <protectedRanges>
    <protectedRange sqref="D49:D50 D52" name="範囲1"/>
  </protectedRanges>
  <mergeCells count="159">
    <mergeCell ref="T17:T18"/>
    <mergeCell ref="S20:U22"/>
    <mergeCell ref="Q8:Q10"/>
    <mergeCell ref="W2:Z2"/>
    <mergeCell ref="W7:X7"/>
    <mergeCell ref="Y7:Z7"/>
    <mergeCell ref="R16:S16"/>
    <mergeCell ref="R2:T2"/>
    <mergeCell ref="U8:U10"/>
    <mergeCell ref="N6:U6"/>
    <mergeCell ref="R7:S7"/>
    <mergeCell ref="W9:X9"/>
    <mergeCell ref="W12:X12"/>
    <mergeCell ref="B56:D56"/>
    <mergeCell ref="B52:C52"/>
    <mergeCell ref="E52:F52"/>
    <mergeCell ref="B54:D54"/>
    <mergeCell ref="B55:D55"/>
    <mergeCell ref="T43:T44"/>
    <mergeCell ref="N47:N49"/>
    <mergeCell ref="N2:P2"/>
    <mergeCell ref="B2:C2"/>
    <mergeCell ref="B27:C27"/>
    <mergeCell ref="B29:C29"/>
    <mergeCell ref="N17:N19"/>
    <mergeCell ref="N15:U15"/>
    <mergeCell ref="Q17:Q18"/>
    <mergeCell ref="T8:T10"/>
    <mergeCell ref="N20:N22"/>
    <mergeCell ref="Q26:R28"/>
    <mergeCell ref="U69:U71"/>
    <mergeCell ref="U61:U63"/>
    <mergeCell ref="R67:S67"/>
    <mergeCell ref="N66:U66"/>
    <mergeCell ref="Q61:Q63"/>
    <mergeCell ref="T61:T63"/>
    <mergeCell ref="N61:N63"/>
    <mergeCell ref="N64:R64"/>
    <mergeCell ref="S64:U64"/>
    <mergeCell ref="Q43:Q44"/>
    <mergeCell ref="T69:T70"/>
    <mergeCell ref="N87:S87"/>
    <mergeCell ref="S72:U72"/>
    <mergeCell ref="N73:N75"/>
    <mergeCell ref="U73:U75"/>
    <mergeCell ref="U83:U85"/>
    <mergeCell ref="T83:T85"/>
    <mergeCell ref="N72:R72"/>
    <mergeCell ref="N83:N85"/>
    <mergeCell ref="Q47:Q49"/>
    <mergeCell ref="Q73:Q75"/>
    <mergeCell ref="N78:U78"/>
    <mergeCell ref="N80:N82"/>
    <mergeCell ref="Q80:Q81"/>
    <mergeCell ref="T73:T75"/>
    <mergeCell ref="N76:R76"/>
    <mergeCell ref="T47:T49"/>
    <mergeCell ref="N60:R60"/>
    <mergeCell ref="S60:U60"/>
    <mergeCell ref="B31:C31"/>
    <mergeCell ref="Q11:R13"/>
    <mergeCell ref="S11:U13"/>
    <mergeCell ref="Q23:Q25"/>
    <mergeCell ref="T23:T25"/>
    <mergeCell ref="U23:U25"/>
    <mergeCell ref="U17:U19"/>
    <mergeCell ref="Q20:R22"/>
    <mergeCell ref="N11:N13"/>
    <mergeCell ref="S26:U28"/>
    <mergeCell ref="B66:L66"/>
    <mergeCell ref="N69:N71"/>
    <mergeCell ref="R31:S31"/>
    <mergeCell ref="N32:N34"/>
    <mergeCell ref="B38:D38"/>
    <mergeCell ref="E38:F38"/>
    <mergeCell ref="I41:K41"/>
    <mergeCell ref="I56:J56"/>
    <mergeCell ref="B51:C51"/>
    <mergeCell ref="E51:F51"/>
    <mergeCell ref="Q32:Q33"/>
    <mergeCell ref="B37:D37"/>
    <mergeCell ref="E37:F37"/>
    <mergeCell ref="B34:K34"/>
    <mergeCell ref="B35:D35"/>
    <mergeCell ref="E35:F35"/>
    <mergeCell ref="B36:D36"/>
    <mergeCell ref="E36:F36"/>
    <mergeCell ref="B59:L59"/>
    <mergeCell ref="I54:J54"/>
    <mergeCell ref="B49:C49"/>
    <mergeCell ref="E49:F49"/>
    <mergeCell ref="I55:J55"/>
    <mergeCell ref="B50:C50"/>
    <mergeCell ref="E50:F50"/>
    <mergeCell ref="N50:R50"/>
    <mergeCell ref="S50:U50"/>
    <mergeCell ref="I42:K42"/>
    <mergeCell ref="B40:D40"/>
    <mergeCell ref="I45:J45"/>
    <mergeCell ref="U47:U49"/>
    <mergeCell ref="U43:U45"/>
    <mergeCell ref="B43:C43"/>
    <mergeCell ref="B44:D44"/>
    <mergeCell ref="B45:D45"/>
    <mergeCell ref="B46:D46"/>
    <mergeCell ref="E46:G46"/>
    <mergeCell ref="I53:K53"/>
    <mergeCell ref="I49:K49"/>
    <mergeCell ref="I47:J47"/>
    <mergeCell ref="S35:U35"/>
    <mergeCell ref="T36:T38"/>
    <mergeCell ref="I38:K38"/>
    <mergeCell ref="B41:D41"/>
    <mergeCell ref="B65:L65"/>
    <mergeCell ref="B64:L64"/>
    <mergeCell ref="B61:L61"/>
    <mergeCell ref="B60:L60"/>
    <mergeCell ref="B63:L63"/>
    <mergeCell ref="B62:L62"/>
    <mergeCell ref="F1:P1"/>
    <mergeCell ref="B58:L58"/>
    <mergeCell ref="N23:N25"/>
    <mergeCell ref="N8:N10"/>
    <mergeCell ref="B42:C42"/>
    <mergeCell ref="N26:N28"/>
    <mergeCell ref="N35:R35"/>
    <mergeCell ref="N39:R39"/>
    <mergeCell ref="N36:N38"/>
    <mergeCell ref="Q36:Q38"/>
    <mergeCell ref="N94:P94"/>
    <mergeCell ref="Q94:S94"/>
    <mergeCell ref="Q69:Q70"/>
    <mergeCell ref="N93:P93"/>
    <mergeCell ref="Q93:S93"/>
    <mergeCell ref="N90:N92"/>
    <mergeCell ref="Q90:Q92"/>
    <mergeCell ref="S76:U76"/>
    <mergeCell ref="U80:U82"/>
    <mergeCell ref="T80:T81"/>
    <mergeCell ref="T57:T58"/>
    <mergeCell ref="U57:U59"/>
    <mergeCell ref="N52:U52"/>
    <mergeCell ref="R53:S53"/>
    <mergeCell ref="N57:N59"/>
    <mergeCell ref="Q57:Q58"/>
    <mergeCell ref="Q83:Q85"/>
    <mergeCell ref="P88:Q88"/>
    <mergeCell ref="N89:O89"/>
    <mergeCell ref="Q89:R89"/>
    <mergeCell ref="N30:T30"/>
    <mergeCell ref="N41:T41"/>
    <mergeCell ref="N46:R46"/>
    <mergeCell ref="S46:U46"/>
    <mergeCell ref="R42:S42"/>
    <mergeCell ref="N43:N45"/>
    <mergeCell ref="U32:U34"/>
    <mergeCell ref="U36:U38"/>
    <mergeCell ref="S39:U39"/>
    <mergeCell ref="T32:T33"/>
  </mergeCells>
  <printOptions/>
  <pageMargins left="0.75" right="0.75" top="1" bottom="1" header="0.512" footer="0.512"/>
  <pageSetup horizontalDpi="300" verticalDpi="300" orientation="portrait" paperSize="9" r:id="rId2"/>
  <ignoredErrors>
    <ignoredError sqref="G32:J32" formulaRange="1"/>
  </ignoredErrors>
  <legacyDrawing r:id="rId1"/>
</worksheet>
</file>

<file path=xl/worksheets/sheet16.xml><?xml version="1.0" encoding="utf-8"?>
<worksheet xmlns="http://schemas.openxmlformats.org/spreadsheetml/2006/main" xmlns:r="http://schemas.openxmlformats.org/officeDocument/2006/relationships">
  <dimension ref="A1:X68"/>
  <sheetViews>
    <sheetView workbookViewId="0" topLeftCell="A1">
      <selection activeCell="A1" sqref="A1"/>
    </sheetView>
  </sheetViews>
  <sheetFormatPr defaultColWidth="9.00390625" defaultRowHeight="13.5"/>
  <cols>
    <col min="1" max="1" width="2.625" style="323" customWidth="1"/>
    <col min="2" max="11" width="5.625" style="0" customWidth="1"/>
    <col min="12" max="13" width="2.625" style="0" customWidth="1"/>
    <col min="22" max="22" width="1.625" style="0" customWidth="1"/>
    <col min="23" max="23" width="9.50390625" style="0" bestFit="1" customWidth="1"/>
  </cols>
  <sheetData>
    <row r="1" spans="6:16" ht="24.75" thickBot="1">
      <c r="F1" s="1223" t="s">
        <v>365</v>
      </c>
      <c r="G1" s="1223"/>
      <c r="H1" s="1223"/>
      <c r="I1" s="1223"/>
      <c r="J1" s="1223"/>
      <c r="K1" s="1223"/>
      <c r="L1" s="1223"/>
      <c r="M1" s="1223"/>
      <c r="N1" s="1223"/>
      <c r="O1" s="1223"/>
      <c r="P1" s="1223"/>
    </row>
    <row r="2" spans="2:20" ht="14.25" thickBot="1">
      <c r="B2" s="1153" t="s">
        <v>532</v>
      </c>
      <c r="C2" s="1154"/>
      <c r="D2" s="2">
        <v>150</v>
      </c>
      <c r="E2" s="1"/>
      <c r="F2" s="3" t="s">
        <v>527</v>
      </c>
      <c r="G2" s="3" t="s">
        <v>343</v>
      </c>
      <c r="H2" s="3" t="s">
        <v>344</v>
      </c>
      <c r="I2" s="3" t="s">
        <v>345</v>
      </c>
      <c r="J2" s="3" t="s">
        <v>346</v>
      </c>
      <c r="K2" s="4" t="s">
        <v>749</v>
      </c>
      <c r="N2" s="1149" t="s">
        <v>1035</v>
      </c>
      <c r="O2" s="1144"/>
      <c r="P2" s="1140"/>
      <c r="Q2" s="57"/>
      <c r="R2" s="1224" t="s">
        <v>737</v>
      </c>
      <c r="S2" s="1225"/>
      <c r="T2" s="1226"/>
    </row>
    <row r="3" spans="2:20" ht="14.25" thickBot="1">
      <c r="B3" s="5" t="s">
        <v>241</v>
      </c>
      <c r="C3" s="536"/>
      <c r="D3" s="6">
        <f>((D2-1)*5+IF(D2&gt;=120,35,IF(D2&gt;=70,30,25)))-(G3+H3+J3+I3)</f>
        <v>0</v>
      </c>
      <c r="E3" s="7" t="s">
        <v>242</v>
      </c>
      <c r="F3" s="8"/>
      <c r="G3" s="8">
        <v>4</v>
      </c>
      <c r="H3" s="8">
        <v>4</v>
      </c>
      <c r="I3" s="8">
        <v>723</v>
      </c>
      <c r="J3" s="8">
        <v>49</v>
      </c>
      <c r="K3" s="9"/>
      <c r="N3" s="36" t="s">
        <v>270</v>
      </c>
      <c r="O3" s="605" t="s">
        <v>271</v>
      </c>
      <c r="P3" s="25" t="s">
        <v>272</v>
      </c>
      <c r="R3" s="10" t="s">
        <v>270</v>
      </c>
      <c r="S3" s="11" t="s">
        <v>271</v>
      </c>
      <c r="T3" s="12" t="s">
        <v>272</v>
      </c>
    </row>
    <row r="4" spans="2:24" ht="14.25" thickBot="1">
      <c r="B4" s="1201" t="s">
        <v>1242</v>
      </c>
      <c r="C4" s="1202"/>
      <c r="D4" s="1203"/>
      <c r="E4" s="7" t="s">
        <v>243</v>
      </c>
      <c r="F4" s="8">
        <v>133</v>
      </c>
      <c r="G4" s="8"/>
      <c r="H4" s="8"/>
      <c r="I4" s="8">
        <v>5</v>
      </c>
      <c r="J4" s="8">
        <v>2</v>
      </c>
      <c r="K4" s="9"/>
      <c r="N4" s="474">
        <f>P4*S49</f>
        <v>11450.460000000001</v>
      </c>
      <c r="O4" s="604">
        <f>(P4+N4)/2</f>
        <v>13358.87</v>
      </c>
      <c r="P4" s="189">
        <f>$Q$4*($F$29+INT(($F$29*($E$32+$K$48+$D$26-1))))/100</f>
        <v>15267.28</v>
      </c>
      <c r="Q4" s="402">
        <f>1*(4*$I$29+$J$29)</f>
        <v>3836</v>
      </c>
      <c r="R4" s="14">
        <f>N4*$G$48*(1-$G$45/100)</f>
        <v>9160.368</v>
      </c>
      <c r="S4" s="15">
        <f>O4*$G$48*(1-$G$45/100)</f>
        <v>10687.096000000001</v>
      </c>
      <c r="T4" s="16">
        <f>P4*$G$48*(1-$G$45/100)</f>
        <v>12213.824</v>
      </c>
      <c r="W4" s="1201" t="s">
        <v>128</v>
      </c>
      <c r="X4" s="1203"/>
    </row>
    <row r="5" spans="1:24" ht="14.25" thickBot="1">
      <c r="A5" s="402">
        <f>MAX(D5-K39,4)</f>
        <v>4</v>
      </c>
      <c r="B5" s="135" t="s">
        <v>244</v>
      </c>
      <c r="C5" s="769"/>
      <c r="D5" s="770">
        <v>4</v>
      </c>
      <c r="E5" s="7" t="s">
        <v>245</v>
      </c>
      <c r="F5" s="8">
        <v>18</v>
      </c>
      <c r="G5" s="8"/>
      <c r="H5" s="8"/>
      <c r="I5" s="8">
        <v>9</v>
      </c>
      <c r="J5" s="8"/>
      <c r="K5" s="9"/>
      <c r="N5" s="1821" t="s">
        <v>1273</v>
      </c>
      <c r="O5" s="1822"/>
      <c r="P5" s="1823"/>
      <c r="Q5" s="323"/>
      <c r="R5" s="402">
        <f>N7*$G$48*(1-$G$45/100)</f>
        <v>8009.568000000001</v>
      </c>
      <c r="S5" s="402">
        <f>O7*$G$48*(1-$G$45/100)</f>
        <v>9344.496000000001</v>
      </c>
      <c r="T5" s="460">
        <f>P7*$G$48*(1-$G$45/100)</f>
        <v>10679.424</v>
      </c>
      <c r="W5" s="1164" t="s">
        <v>129</v>
      </c>
      <c r="X5" s="1165"/>
    </row>
    <row r="6" spans="2:24" ht="14.25" thickBot="1">
      <c r="B6" s="698" t="s">
        <v>388</v>
      </c>
      <c r="C6" s="763"/>
      <c r="D6" s="204">
        <f>10</f>
        <v>10</v>
      </c>
      <c r="E6" s="7" t="s">
        <v>246</v>
      </c>
      <c r="F6" s="8"/>
      <c r="G6" s="8">
        <v>10</v>
      </c>
      <c r="H6" s="8">
        <v>10</v>
      </c>
      <c r="I6" s="8">
        <v>20</v>
      </c>
      <c r="J6" s="8">
        <v>10</v>
      </c>
      <c r="K6" s="9"/>
      <c r="N6" s="53">
        <f>P6*S49</f>
        <v>13608.21</v>
      </c>
      <c r="O6" s="54">
        <f>(P6+N6)/2</f>
        <v>15876.244999999999</v>
      </c>
      <c r="P6" s="756">
        <f>$Q$4*($F$29+INT(($F$29*(0.3+$E$32+$K$48+$D$26-1))))/100</f>
        <v>18144.28</v>
      </c>
      <c r="W6" s="1" t="s">
        <v>252</v>
      </c>
      <c r="X6" s="490">
        <f>IF(D10&gt;0,(40+D10*2)/100,0)</f>
        <v>1</v>
      </c>
    </row>
    <row r="7" spans="2:24" ht="14.25" thickBot="1">
      <c r="B7" s="500" t="s">
        <v>366</v>
      </c>
      <c r="C7" s="43"/>
      <c r="D7" s="9">
        <v>30</v>
      </c>
      <c r="E7" s="7" t="s">
        <v>247</v>
      </c>
      <c r="F7" s="8">
        <v>5</v>
      </c>
      <c r="G7" s="8"/>
      <c r="H7" s="8"/>
      <c r="I7" s="8"/>
      <c r="J7" s="8"/>
      <c r="K7" s="9"/>
      <c r="N7" s="402">
        <f>P7*S49</f>
        <v>10011.960000000001</v>
      </c>
      <c r="O7" s="402">
        <f>(P7+N7)/2</f>
        <v>11680.62</v>
      </c>
      <c r="P7" s="402">
        <f>$Q$4*($F$29+INT(($F$29*($E$32+$K$48+$A$26-1))))/100</f>
        <v>13349.28</v>
      </c>
      <c r="W7" s="7" t="s">
        <v>1313</v>
      </c>
      <c r="X7" s="44" t="s">
        <v>1216</v>
      </c>
    </row>
    <row r="8" spans="1:24" ht="14.25" thickBot="1">
      <c r="A8" s="402"/>
      <c r="B8" s="7" t="s">
        <v>367</v>
      </c>
      <c r="C8" s="43"/>
      <c r="D8" s="9">
        <v>30</v>
      </c>
      <c r="E8" s="7" t="s">
        <v>248</v>
      </c>
      <c r="F8" s="8">
        <v>2</v>
      </c>
      <c r="G8" s="8"/>
      <c r="H8" s="8"/>
      <c r="I8" s="8"/>
      <c r="J8" s="8"/>
      <c r="K8" s="9"/>
      <c r="N8" s="1158" t="str">
        <f>IF(D7&gt;0,"フィニッシュブロー","デスブロー")</f>
        <v>フィニッシュブロー</v>
      </c>
      <c r="O8" s="1159"/>
      <c r="P8" s="1159"/>
      <c r="Q8" s="1159"/>
      <c r="R8" s="1159"/>
      <c r="S8" s="1159"/>
      <c r="T8" s="1159"/>
      <c r="U8" s="1160"/>
      <c r="W8" s="14" t="s">
        <v>130</v>
      </c>
      <c r="X8" s="768" t="s">
        <v>1216</v>
      </c>
    </row>
    <row r="9" spans="1:21" ht="14.25" thickBot="1">
      <c r="A9" s="402"/>
      <c r="B9" s="1387" t="s">
        <v>368</v>
      </c>
      <c r="C9" s="1388"/>
      <c r="D9" s="9">
        <v>1</v>
      </c>
      <c r="E9" s="7" t="s">
        <v>249</v>
      </c>
      <c r="F9" s="8"/>
      <c r="G9" s="8">
        <v>7</v>
      </c>
      <c r="H9" s="8">
        <v>7</v>
      </c>
      <c r="I9" s="8">
        <v>7</v>
      </c>
      <c r="J9" s="8">
        <v>7</v>
      </c>
      <c r="K9" s="9"/>
      <c r="N9" s="142" t="s">
        <v>533</v>
      </c>
      <c r="O9" s="65">
        <f>D7</f>
        <v>30</v>
      </c>
      <c r="P9" s="142" t="s">
        <v>301</v>
      </c>
      <c r="Q9" s="601">
        <f>IF(O9&gt;0,115+O9,115)/100</f>
        <v>1.45</v>
      </c>
      <c r="R9" s="1668" t="s">
        <v>415</v>
      </c>
      <c r="S9" s="1824"/>
      <c r="T9" s="668">
        <f>IF($A$5=4,84,IF($A$5=5,74,IF($A$5=6,69,IF($A$5=7,65,61))))</f>
        <v>84</v>
      </c>
      <c r="U9" s="732"/>
    </row>
    <row r="10" spans="1:21" ht="14.25" thickBot="1">
      <c r="A10" s="402" t="b">
        <v>1</v>
      </c>
      <c r="B10" s="764" t="s">
        <v>369</v>
      </c>
      <c r="C10" s="15"/>
      <c r="D10" s="228">
        <v>30</v>
      </c>
      <c r="E10" s="7" t="s">
        <v>250</v>
      </c>
      <c r="F10" s="8">
        <v>16</v>
      </c>
      <c r="G10" s="8"/>
      <c r="H10" s="8"/>
      <c r="I10" s="8">
        <v>9</v>
      </c>
      <c r="J10" s="8"/>
      <c r="K10" s="9">
        <v>1</v>
      </c>
      <c r="N10" s="1227" t="s">
        <v>327</v>
      </c>
      <c r="O10" s="76" t="s">
        <v>257</v>
      </c>
      <c r="P10" s="521">
        <f>MIN(INT(($R$4*Q9*1.3)*(1+$B$34+$E$34+$B$52+$K$35)),ReadMe!$M$99)</f>
        <v>17267</v>
      </c>
      <c r="Q10" s="1234" t="s">
        <v>347</v>
      </c>
      <c r="R10" s="186" t="s">
        <v>257</v>
      </c>
      <c r="S10" s="155">
        <f>MIN(INT(P10*$E$41),ReadMe!$M$99)</f>
        <v>24173</v>
      </c>
      <c r="T10" s="1564" t="s">
        <v>323</v>
      </c>
      <c r="U10" s="1556">
        <f>INT(P11*(1-$G$41)+S11*$G$41)</f>
        <v>24224</v>
      </c>
    </row>
    <row r="11" spans="1:24" ht="14.25" thickBot="1">
      <c r="A11" s="486" t="str">
        <f>IF(A10=TRUE,"TRUE",IF(D11=1,"TRUE","FLASE"))</f>
        <v>TRUE</v>
      </c>
      <c r="B11" s="1010" t="s">
        <v>391</v>
      </c>
      <c r="C11" s="989"/>
      <c r="D11" s="589"/>
      <c r="E11" s="7" t="s">
        <v>698</v>
      </c>
      <c r="F11" s="8"/>
      <c r="G11" s="8"/>
      <c r="H11" s="8"/>
      <c r="I11" s="8">
        <v>22</v>
      </c>
      <c r="J11" s="8"/>
      <c r="K11" s="9"/>
      <c r="N11" s="1228"/>
      <c r="O11" s="43" t="s">
        <v>258</v>
      </c>
      <c r="P11" s="522">
        <f>INT((P10+P12)/2)</f>
        <v>20145</v>
      </c>
      <c r="Q11" s="1235"/>
      <c r="R11" s="79" t="s">
        <v>258</v>
      </c>
      <c r="S11" s="156">
        <f>MIN(INT(P11*(($E$41+$F$41)/2)),ReadMe!$M$99)</f>
        <v>29210</v>
      </c>
      <c r="T11" s="1565"/>
      <c r="U11" s="1557"/>
      <c r="W11" s="1519" t="s">
        <v>404</v>
      </c>
      <c r="X11" s="1521"/>
    </row>
    <row r="12" spans="2:24" ht="14.25" thickBot="1">
      <c r="B12" s="218"/>
      <c r="C12" s="397"/>
      <c r="D12" s="767">
        <f>IF(D10&gt;0,10+ROUNDUP(D10/3,0),10)/100</f>
        <v>0.2</v>
      </c>
      <c r="E12" s="7" t="s">
        <v>587</v>
      </c>
      <c r="F12" s="8"/>
      <c r="G12" s="8"/>
      <c r="H12" s="8"/>
      <c r="I12" s="8"/>
      <c r="J12" s="8"/>
      <c r="K12" s="9"/>
      <c r="N12" s="1229"/>
      <c r="O12" s="15" t="s">
        <v>259</v>
      </c>
      <c r="P12" s="523">
        <f>MIN(INT(($T$4*Q9*1.3)*(1+$B$34+$E$34+$B$52+$K$35)),ReadMe!$M$99)</f>
        <v>23023</v>
      </c>
      <c r="Q12" s="1409"/>
      <c r="R12" s="249" t="s">
        <v>259</v>
      </c>
      <c r="S12" s="251">
        <f>MIN(INT(P12*$F$41),ReadMe!$M$99)</f>
        <v>34534</v>
      </c>
      <c r="T12" s="1646"/>
      <c r="U12" s="1647"/>
      <c r="W12" s="1825" t="s">
        <v>406</v>
      </c>
      <c r="X12" s="1826"/>
    </row>
    <row r="13" spans="2:24" ht="14.25" thickBot="1">
      <c r="B13" s="22"/>
      <c r="C13" s="21"/>
      <c r="D13" s="138"/>
      <c r="E13" s="7" t="s">
        <v>697</v>
      </c>
      <c r="F13" s="8"/>
      <c r="G13" s="8"/>
      <c r="H13" s="8"/>
      <c r="I13" s="8"/>
      <c r="J13" s="8"/>
      <c r="K13" s="9"/>
      <c r="N13" s="1227" t="str">
        <f>IF(O9&gt;0,"6発合計","5発合計")</f>
        <v>6発合計</v>
      </c>
      <c r="O13" s="84" t="s">
        <v>257</v>
      </c>
      <c r="P13" s="196">
        <f>P10*IF(O9&gt;0,6,5)</f>
        <v>103602</v>
      </c>
      <c r="Q13" s="1227" t="s">
        <v>268</v>
      </c>
      <c r="R13" s="1510"/>
      <c r="S13" s="1680">
        <f>(P16*T9+IF($A$23="true",$S$41,0))*$G$47</f>
        <v>14706717.829145728</v>
      </c>
      <c r="T13" s="1680"/>
      <c r="U13" s="1681"/>
      <c r="W13" s="757" t="s">
        <v>267</v>
      </c>
      <c r="X13" s="189">
        <f>X19</f>
        <v>46</v>
      </c>
    </row>
    <row r="14" spans="2:24" ht="13.5" customHeight="1">
      <c r="B14" s="22"/>
      <c r="C14" s="21"/>
      <c r="D14" s="138"/>
      <c r="E14" s="7" t="s">
        <v>260</v>
      </c>
      <c r="F14" s="8"/>
      <c r="G14" s="8"/>
      <c r="H14" s="8"/>
      <c r="I14" s="8">
        <v>5</v>
      </c>
      <c r="J14" s="8"/>
      <c r="K14" s="9"/>
      <c r="N14" s="1228"/>
      <c r="O14" s="173" t="s">
        <v>335</v>
      </c>
      <c r="P14" s="750">
        <f>U10*IF(O9&gt;0,6,5)</f>
        <v>145344</v>
      </c>
      <c r="Q14" s="1228"/>
      <c r="R14" s="1284"/>
      <c r="S14" s="1683"/>
      <c r="T14" s="1683"/>
      <c r="U14" s="1684"/>
      <c r="W14" s="1693">
        <f>(((P16+U22)*(X13-X25*0.95)+U28*X25)+IF($A$23="true",$S$41,0))*G47</f>
        <v>14856189.250251256</v>
      </c>
      <c r="X14" s="1393"/>
    </row>
    <row r="15" spans="2:24" ht="14.25" thickBot="1">
      <c r="B15" s="22"/>
      <c r="C15" s="21"/>
      <c r="D15" s="138"/>
      <c r="E15" s="7" t="s">
        <v>261</v>
      </c>
      <c r="F15" s="8">
        <v>8</v>
      </c>
      <c r="G15" s="8"/>
      <c r="H15" s="8"/>
      <c r="I15" s="8">
        <v>8</v>
      </c>
      <c r="J15" s="8"/>
      <c r="K15" s="9"/>
      <c r="N15" s="1229"/>
      <c r="O15" s="92" t="s">
        <v>259</v>
      </c>
      <c r="P15" s="198">
        <f>S12*IF(O9&gt;0,6,5)</f>
        <v>207204</v>
      </c>
      <c r="Q15" s="1229"/>
      <c r="R15" s="1515"/>
      <c r="S15" s="1686"/>
      <c r="T15" s="1686"/>
      <c r="U15" s="1687"/>
      <c r="W15" s="751"/>
      <c r="X15" s="752"/>
    </row>
    <row r="16" spans="2:24" ht="14.25" thickBot="1">
      <c r="B16" s="22"/>
      <c r="C16" s="21"/>
      <c r="D16" s="138"/>
      <c r="E16" s="7" t="s">
        <v>262</v>
      </c>
      <c r="F16" s="8">
        <v>5</v>
      </c>
      <c r="G16" s="8"/>
      <c r="H16" s="8"/>
      <c r="I16" s="8">
        <v>8</v>
      </c>
      <c r="J16" s="8"/>
      <c r="K16" s="9"/>
      <c r="P16" s="402">
        <f>P14/S4*S5</f>
        <v>127084.70351758793</v>
      </c>
      <c r="W16" s="59"/>
      <c r="X16" s="59"/>
    </row>
    <row r="17" spans="2:24" ht="14.25" thickBot="1">
      <c r="B17" s="22"/>
      <c r="C17" s="21"/>
      <c r="D17" s="138"/>
      <c r="E17" s="7" t="s">
        <v>5</v>
      </c>
      <c r="F17" s="8"/>
      <c r="G17" s="8">
        <v>3</v>
      </c>
      <c r="H17" s="8">
        <v>3</v>
      </c>
      <c r="I17" s="8">
        <v>3</v>
      </c>
      <c r="J17" s="8">
        <v>3</v>
      </c>
      <c r="K17" s="9"/>
      <c r="N17" s="1405" t="s">
        <v>370</v>
      </c>
      <c r="O17" s="1376"/>
      <c r="P17" s="1376"/>
      <c r="Q17" s="1376"/>
      <c r="R17" s="1376"/>
      <c r="S17" s="1376"/>
      <c r="T17" s="1159"/>
      <c r="U17" s="1160"/>
      <c r="W17" s="59"/>
      <c r="X17" s="59"/>
    </row>
    <row r="18" spans="2:24" ht="14.25" thickBot="1">
      <c r="B18" s="22"/>
      <c r="C18" s="21"/>
      <c r="D18" s="138"/>
      <c r="E18" s="7" t="s">
        <v>5</v>
      </c>
      <c r="F18" s="8">
        <v>1</v>
      </c>
      <c r="G18" s="8">
        <v>1</v>
      </c>
      <c r="H18" s="8">
        <v>1</v>
      </c>
      <c r="I18" s="8">
        <v>1</v>
      </c>
      <c r="J18" s="8">
        <v>1</v>
      </c>
      <c r="K18" s="9"/>
      <c r="N18" s="89" t="s">
        <v>533</v>
      </c>
      <c r="O18" s="412">
        <f>D6</f>
        <v>10</v>
      </c>
      <c r="P18" s="17" t="s">
        <v>252</v>
      </c>
      <c r="Q18" s="75">
        <f>IF(D7&gt;0,620+14*D6,480+12*D6)/100</f>
        <v>7.6</v>
      </c>
      <c r="R18" s="749" t="s">
        <v>1092</v>
      </c>
      <c r="S18" s="75">
        <f>(2*D6)/100</f>
        <v>0.2</v>
      </c>
      <c r="T18" s="1819" t="str">
        <f>IF(D7&gt;0,"フィニッシュブローから派生","デスブローから派生")</f>
        <v>フィニッシュブローから派生</v>
      </c>
      <c r="U18" s="1820"/>
      <c r="W18" s="748" t="s">
        <v>394</v>
      </c>
      <c r="X18" s="753"/>
    </row>
    <row r="19" spans="2:24" ht="14.25" thickBot="1">
      <c r="B19" s="22"/>
      <c r="C19" s="21"/>
      <c r="D19" s="138"/>
      <c r="E19" s="7" t="s">
        <v>5</v>
      </c>
      <c r="F19" s="8">
        <v>1</v>
      </c>
      <c r="G19" s="8">
        <v>1</v>
      </c>
      <c r="H19" s="8">
        <v>1</v>
      </c>
      <c r="I19" s="8">
        <v>1</v>
      </c>
      <c r="J19" s="8">
        <v>1</v>
      </c>
      <c r="K19" s="9"/>
      <c r="N19" s="1227" t="s">
        <v>327</v>
      </c>
      <c r="O19" s="76" t="s">
        <v>257</v>
      </c>
      <c r="P19" s="521">
        <f>MIN(INT(($N$4*G49*Q18*1.3)*(1+$B$34+$E$34+$B$52+$K$35)),ReadMe!$M$99)</f>
        <v>96160</v>
      </c>
      <c r="Q19" s="1234" t="s">
        <v>347</v>
      </c>
      <c r="R19" s="186" t="s">
        <v>257</v>
      </c>
      <c r="S19" s="155">
        <f>MIN(INT(P19*$E$41),ReadMe!$M$99)</f>
        <v>134624</v>
      </c>
      <c r="T19" s="1564" t="s">
        <v>323</v>
      </c>
      <c r="U19" s="1556">
        <f>INT(P20*(1-$G$41)+S20*$G$41)</f>
        <v>134904</v>
      </c>
      <c r="W19" s="747" t="s">
        <v>267</v>
      </c>
      <c r="X19" s="756">
        <f>IF($A$5=4,46,IF($A$5=5,44,IF($A$5=6,40,IF($A$5=7,38,35))))</f>
        <v>46</v>
      </c>
    </row>
    <row r="20" spans="2:24" ht="14.25" thickBot="1">
      <c r="B20" s="47"/>
      <c r="C20" s="491"/>
      <c r="D20" s="220"/>
      <c r="E20" s="7" t="s">
        <v>5</v>
      </c>
      <c r="F20" s="8"/>
      <c r="G20" s="8"/>
      <c r="H20" s="8"/>
      <c r="I20" s="8"/>
      <c r="J20" s="8"/>
      <c r="K20" s="9"/>
      <c r="N20" s="1228"/>
      <c r="O20" s="43" t="s">
        <v>258</v>
      </c>
      <c r="P20" s="522">
        <f>INT((P19+P21)/2)</f>
        <v>112187</v>
      </c>
      <c r="Q20" s="1235"/>
      <c r="R20" s="79" t="s">
        <v>258</v>
      </c>
      <c r="S20" s="156">
        <f>MIN(INT(P20*(($E$41+$F$41)/2)),ReadMe!$M$99)</f>
        <v>162671</v>
      </c>
      <c r="T20" s="1565"/>
      <c r="U20" s="1557"/>
      <c r="W20" s="1693">
        <f>((P16+U22)*X19+IF($A$23="true",$S$41,0))*G47</f>
        <v>15303487.11557789</v>
      </c>
      <c r="X20" s="1393"/>
    </row>
    <row r="21" spans="1:24" ht="14.25" thickBot="1">
      <c r="A21"/>
      <c r="B21" s="311" t="s">
        <v>59</v>
      </c>
      <c r="C21" s="312"/>
      <c r="D21" s="691"/>
      <c r="E21" s="7" t="s">
        <v>1305</v>
      </c>
      <c r="F21" s="8"/>
      <c r="G21" s="8">
        <v>2</v>
      </c>
      <c r="H21" s="8">
        <v>2</v>
      </c>
      <c r="I21" s="8">
        <v>2</v>
      </c>
      <c r="J21" s="8">
        <v>2</v>
      </c>
      <c r="K21" s="9"/>
      <c r="N21" s="1229"/>
      <c r="O21" s="15" t="s">
        <v>259</v>
      </c>
      <c r="P21" s="523">
        <f>MIN(INT(($P$4*$G$49*Q18*1.3)*(1+$B$34+$E$34+$B$52+$K$35)),ReadMe!$M$99)</f>
        <v>128214</v>
      </c>
      <c r="Q21" s="1236"/>
      <c r="R21" s="86" t="s">
        <v>259</v>
      </c>
      <c r="S21" s="157">
        <f>MIN(INT(P21*$F$41),ReadMe!$M$99)</f>
        <v>192321</v>
      </c>
      <c r="T21" s="1566"/>
      <c r="U21" s="1558"/>
      <c r="W21" s="751"/>
      <c r="X21" s="752"/>
    </row>
    <row r="22" spans="1:21" ht="14.25" thickBot="1">
      <c r="A22" s="402" t="b">
        <v>1</v>
      </c>
      <c r="B22" s="311" t="s">
        <v>61</v>
      </c>
      <c r="C22" s="312"/>
      <c r="D22" s="200"/>
      <c r="E22" s="7" t="s">
        <v>348</v>
      </c>
      <c r="F22" s="8"/>
      <c r="G22" s="8">
        <v>3</v>
      </c>
      <c r="H22" s="8">
        <v>3</v>
      </c>
      <c r="I22" s="8">
        <v>3</v>
      </c>
      <c r="J22" s="8">
        <v>3</v>
      </c>
      <c r="K22" s="9"/>
      <c r="U22" s="402">
        <f>U19/O4*O7</f>
        <v>117956.26130653267</v>
      </c>
    </row>
    <row r="23" spans="1:21" ht="14.25" thickBot="1">
      <c r="A23" s="402" t="str">
        <f>IF(A22=TRUE,"TRUE",IF(D23=1,"TRUE","FLASE"))</f>
        <v>TRUE</v>
      </c>
      <c r="B23" s="226" t="s">
        <v>60</v>
      </c>
      <c r="C23" s="554"/>
      <c r="D23" s="501"/>
      <c r="E23" s="7" t="s">
        <v>181</v>
      </c>
      <c r="F23" s="8"/>
      <c r="G23" s="8"/>
      <c r="H23" s="8"/>
      <c r="I23" s="8"/>
      <c r="J23" s="8"/>
      <c r="K23" s="9"/>
      <c r="N23" s="1158" t="s">
        <v>390</v>
      </c>
      <c r="O23" s="1159"/>
      <c r="P23" s="1159"/>
      <c r="Q23" s="1159"/>
      <c r="R23" s="1159"/>
      <c r="S23" s="1159"/>
      <c r="T23" s="1159"/>
      <c r="U23" s="1160"/>
    </row>
    <row r="24" spans="1:24" ht="14.25" thickBot="1">
      <c r="A24" s="403" t="b">
        <v>1</v>
      </c>
      <c r="B24" s="218" t="s">
        <v>393</v>
      </c>
      <c r="C24" s="397"/>
      <c r="D24" s="219"/>
      <c r="E24" s="7" t="s">
        <v>349</v>
      </c>
      <c r="F24" s="8"/>
      <c r="G24" s="8"/>
      <c r="H24" s="8"/>
      <c r="I24" s="8"/>
      <c r="J24" s="8"/>
      <c r="K24" s="9"/>
      <c r="N24" s="89" t="s">
        <v>533</v>
      </c>
      <c r="O24" s="412">
        <v>20</v>
      </c>
      <c r="P24" s="17" t="s">
        <v>252</v>
      </c>
      <c r="Q24" s="679">
        <f>(1000*(1+(O44*2)/100))/100</f>
        <v>10.2</v>
      </c>
      <c r="R24" s="401" t="s">
        <v>65</v>
      </c>
      <c r="S24" s="600">
        <f>50%</f>
        <v>0.5</v>
      </c>
      <c r="T24" s="749" t="s">
        <v>874</v>
      </c>
      <c r="U24" s="754">
        <v>7.5</v>
      </c>
      <c r="W24" s="755" t="s">
        <v>405</v>
      </c>
      <c r="X24" s="753"/>
    </row>
    <row r="25" spans="1:24" ht="14.25" customHeight="1" thickBot="1">
      <c r="A25" s="486" t="str">
        <f>IF(A24=TRUE,"TRUE",IF(D25=1,"TRUE","FLASE"))</f>
        <v>TRUE</v>
      </c>
      <c r="B25" s="265" t="s">
        <v>1099</v>
      </c>
      <c r="C25" s="758"/>
      <c r="D25" s="592"/>
      <c r="E25" s="7" t="s">
        <v>1153</v>
      </c>
      <c r="F25" s="8">
        <v>20</v>
      </c>
      <c r="G25" s="8"/>
      <c r="H25" s="8"/>
      <c r="I25" s="8"/>
      <c r="J25" s="8"/>
      <c r="K25" s="9"/>
      <c r="N25" s="1227" t="s">
        <v>327</v>
      </c>
      <c r="O25" s="76" t="s">
        <v>257</v>
      </c>
      <c r="P25" s="521">
        <f>MIN(INT(($R$4*Q24*1.3)*(1+$B$34+$E$34+$B$52+$K$35)),ReadMe!$M$99)</f>
        <v>121466</v>
      </c>
      <c r="Q25" s="1234" t="s">
        <v>347</v>
      </c>
      <c r="R25" s="186" t="s">
        <v>257</v>
      </c>
      <c r="S25" s="155">
        <f>MIN(INT(P25*$E$41),ReadMe!$M$99)</f>
        <v>170052</v>
      </c>
      <c r="T25" s="1564" t="s">
        <v>323</v>
      </c>
      <c r="U25" s="1556">
        <f>INT(P26*(1-($G$41+$S$24))+S26*($G$41+$S$24))</f>
        <v>202290</v>
      </c>
      <c r="W25" s="747" t="s">
        <v>403</v>
      </c>
      <c r="X25" s="756">
        <f>60/U24</f>
        <v>8</v>
      </c>
    </row>
    <row r="26" spans="1:24" ht="14.25" thickBot="1">
      <c r="A26" s="402">
        <f>IF(A11="true",D12+IF(A25="true",0.2,0),0)</f>
        <v>0.4</v>
      </c>
      <c r="B26" s="772" t="s">
        <v>392</v>
      </c>
      <c r="C26" s="773"/>
      <c r="D26" s="774">
        <f>IF(A11="true",D12+IF(A25="true",0.4,0),0)</f>
        <v>0.6000000000000001</v>
      </c>
      <c r="E26" s="7" t="s">
        <v>714</v>
      </c>
      <c r="F26" s="8"/>
      <c r="G26" s="8"/>
      <c r="H26" s="8"/>
      <c r="I26" s="8"/>
      <c r="J26" s="8"/>
      <c r="K26" s="9"/>
      <c r="N26" s="1228"/>
      <c r="O26" s="43" t="s">
        <v>258</v>
      </c>
      <c r="P26" s="522">
        <f>INT((P25+P27)/2)</f>
        <v>141710</v>
      </c>
      <c r="Q26" s="1235"/>
      <c r="R26" s="79" t="s">
        <v>258</v>
      </c>
      <c r="S26" s="156">
        <f>MIN(INT(P26*(($E$41+$F$41)/2)),ReadMe!$M$99)</f>
        <v>205479</v>
      </c>
      <c r="T26" s="1565"/>
      <c r="U26" s="1557"/>
      <c r="W26" s="1693">
        <f>(P16*(T9-X25*0.95)+U28*X25+IF($A$23="true",$S$41,0))*G47</f>
        <v>15155887.549748743</v>
      </c>
      <c r="X26" s="1393"/>
    </row>
    <row r="27" spans="1:24" ht="14.25" thickBot="1">
      <c r="A27" s="402"/>
      <c r="B27" s="1428" t="s">
        <v>350</v>
      </c>
      <c r="C27" s="1429"/>
      <c r="D27" s="137">
        <v>9</v>
      </c>
      <c r="E27" s="216" t="s">
        <v>351</v>
      </c>
      <c r="F27" s="8"/>
      <c r="G27" s="40">
        <f>ROUNDDOWN(G3*D28%,0)</f>
        <v>0</v>
      </c>
      <c r="H27" s="40">
        <f>ROUNDDOWN(H3*D28%,0)</f>
        <v>0</v>
      </c>
      <c r="I27" s="40">
        <f>ROUNDDOWN(I3*D28%,0)</f>
        <v>36</v>
      </c>
      <c r="J27" s="40">
        <f>ROUNDDOWN(J3*D28%,0)</f>
        <v>2</v>
      </c>
      <c r="K27" s="9">
        <f>SUM(K2:K25)+D28</f>
        <v>6</v>
      </c>
      <c r="N27" s="1229"/>
      <c r="O27" s="15" t="s">
        <v>259</v>
      </c>
      <c r="P27" s="523">
        <f>MIN(INT(($T$4*Q24*1.3)*(1+$B$34+$E$34+$B$52+$K$35)),ReadMe!$M$99)</f>
        <v>161955</v>
      </c>
      <c r="Q27" s="1236"/>
      <c r="R27" s="86" t="s">
        <v>259</v>
      </c>
      <c r="S27" s="157">
        <f>MIN(INT(P27*$F$41),ReadMe!$M$99)</f>
        <v>242932</v>
      </c>
      <c r="T27" s="1566"/>
      <c r="U27" s="1558"/>
      <c r="W27" s="751"/>
      <c r="X27" s="752"/>
    </row>
    <row r="28" spans="1:21" ht="14.25" thickBot="1">
      <c r="A28" s="402"/>
      <c r="B28" s="14" t="s">
        <v>263</v>
      </c>
      <c r="C28" s="538"/>
      <c r="D28" s="16">
        <f>ROUNDUP(D27/2,0)</f>
        <v>5</v>
      </c>
      <c r="E28" s="7" t="s">
        <v>264</v>
      </c>
      <c r="F28" s="43">
        <f>D29+10+D10</f>
        <v>40</v>
      </c>
      <c r="G28" s="43">
        <f>SUM(G4:G26)</f>
        <v>27</v>
      </c>
      <c r="H28" s="43">
        <f>SUM(H4:H26)</f>
        <v>27</v>
      </c>
      <c r="I28" s="43">
        <f>SUM(I4:I26)</f>
        <v>103</v>
      </c>
      <c r="J28" s="43">
        <f>SUM(J4:J26)</f>
        <v>29</v>
      </c>
      <c r="K28" s="588">
        <f>SUM(K3:K27)+D33</f>
        <v>7</v>
      </c>
      <c r="U28" s="402">
        <f>U25/S4*S5</f>
        <v>176876.6834170854</v>
      </c>
    </row>
    <row r="29" spans="1:21" ht="14.25" thickBot="1">
      <c r="A29" s="402"/>
      <c r="B29" s="17" t="s">
        <v>1378</v>
      </c>
      <c r="C29" s="195"/>
      <c r="D29" s="18">
        <v>0</v>
      </c>
      <c r="E29" s="14" t="s">
        <v>256</v>
      </c>
      <c r="F29" s="48">
        <f>SUM(F4:F28)</f>
        <v>249</v>
      </c>
      <c r="G29" s="48">
        <f>INT((G3+G27+G28)*(1+G32))</f>
        <v>31</v>
      </c>
      <c r="H29" s="48">
        <f>INT((H3+H27+H28)*(1+H32))</f>
        <v>31</v>
      </c>
      <c r="I29" s="48">
        <f>INT((I3+I27+I28)*(1+I32))</f>
        <v>939</v>
      </c>
      <c r="J29" s="48">
        <f>INT((J3+J27+J28)*(1+J32))</f>
        <v>80</v>
      </c>
      <c r="K29" s="191">
        <f>($H$29*0.4+$J$29*0.8+$I$29*1.6+K28)*(1+$K$32)</f>
        <v>1585.8000000000002</v>
      </c>
      <c r="N29" s="1158" t="s">
        <v>367</v>
      </c>
      <c r="O29" s="1159"/>
      <c r="P29" s="1159"/>
      <c r="Q29" s="1159"/>
      <c r="R29" s="1159"/>
      <c r="S29" s="1159"/>
      <c r="T29" s="1159"/>
      <c r="U29" s="1160"/>
    </row>
    <row r="30" spans="1:21" ht="14.25" thickBot="1">
      <c r="A30" s="402"/>
      <c r="B30" s="1305" t="s">
        <v>981</v>
      </c>
      <c r="C30" s="1306"/>
      <c r="D30" s="1306"/>
      <c r="E30" s="1787"/>
      <c r="F30" s="1787"/>
      <c r="G30" s="1787"/>
      <c r="H30" s="1787"/>
      <c r="I30" s="1787"/>
      <c r="J30" s="1787"/>
      <c r="K30" s="1799"/>
      <c r="N30" s="142" t="s">
        <v>533</v>
      </c>
      <c r="O30" s="65">
        <f>D8</f>
        <v>30</v>
      </c>
      <c r="P30" s="142" t="s">
        <v>301</v>
      </c>
      <c r="Q30" s="601">
        <f>(550+15*O30)/100</f>
        <v>10</v>
      </c>
      <c r="R30" s="1668" t="s">
        <v>415</v>
      </c>
      <c r="S30" s="1669"/>
      <c r="T30" s="65">
        <v>60</v>
      </c>
      <c r="U30" s="732"/>
    </row>
    <row r="31" spans="1:21" ht="13.5">
      <c r="A31" s="402"/>
      <c r="B31" s="1218" t="s">
        <v>762</v>
      </c>
      <c r="C31" s="1219"/>
      <c r="D31" s="1220"/>
      <c r="E31" s="1308" t="s">
        <v>1218</v>
      </c>
      <c r="F31" s="1309"/>
      <c r="G31" s="1" t="s">
        <v>352</v>
      </c>
      <c r="H31" s="3" t="s">
        <v>353</v>
      </c>
      <c r="I31" s="3" t="s">
        <v>354</v>
      </c>
      <c r="J31" s="3" t="s">
        <v>355</v>
      </c>
      <c r="K31" s="4" t="s">
        <v>987</v>
      </c>
      <c r="N31" s="1227" t="s">
        <v>327</v>
      </c>
      <c r="O31" s="76" t="s">
        <v>257</v>
      </c>
      <c r="P31" s="521">
        <f>MIN(INT(($R$4*Q30*1.3)*(1+$B$34+$E$34+$B$52+$K$35)),ReadMe!$M$99)</f>
        <v>119084</v>
      </c>
      <c r="Q31" s="1234" t="s">
        <v>347</v>
      </c>
      <c r="R31" s="186" t="s">
        <v>257</v>
      </c>
      <c r="S31" s="155">
        <f>MIN(INT(P31*$E$41),ReadMe!$M$99)</f>
        <v>166717</v>
      </c>
      <c r="T31" s="1564" t="s">
        <v>323</v>
      </c>
      <c r="U31" s="1556">
        <f>INT(P32*(1-$G$41)+S32*$G$41)</f>
        <v>167064</v>
      </c>
    </row>
    <row r="32" spans="1:21" ht="14.25" thickBot="1">
      <c r="A32" s="402"/>
      <c r="B32" s="1210">
        <v>0</v>
      </c>
      <c r="C32" s="1211"/>
      <c r="D32" s="1212"/>
      <c r="E32" s="1130">
        <v>0</v>
      </c>
      <c r="F32" s="1131"/>
      <c r="G32" s="542">
        <v>0</v>
      </c>
      <c r="H32" s="543">
        <v>0</v>
      </c>
      <c r="I32" s="543">
        <v>0.09</v>
      </c>
      <c r="J32" s="543">
        <v>0</v>
      </c>
      <c r="K32" s="544">
        <v>0</v>
      </c>
      <c r="N32" s="1228"/>
      <c r="O32" s="43" t="s">
        <v>258</v>
      </c>
      <c r="P32" s="522">
        <f>INT((P31+P33)/2)</f>
        <v>138931</v>
      </c>
      <c r="Q32" s="1235"/>
      <c r="R32" s="79" t="s">
        <v>258</v>
      </c>
      <c r="S32" s="156">
        <f>MIN(INT(P32*(($E$41+$F$41)/2)),ReadMe!$M$99)</f>
        <v>201449</v>
      </c>
      <c r="T32" s="1565"/>
      <c r="U32" s="1557"/>
    </row>
    <row r="33" spans="1:21" ht="13.5" customHeight="1" thickBot="1">
      <c r="A33" s="402"/>
      <c r="B33" s="1221" t="s">
        <v>135</v>
      </c>
      <c r="C33" s="1166"/>
      <c r="D33" s="1177"/>
      <c r="E33" s="1261" t="s">
        <v>877</v>
      </c>
      <c r="F33" s="1262"/>
      <c r="N33" s="1229"/>
      <c r="O33" s="15" t="s">
        <v>259</v>
      </c>
      <c r="P33" s="523">
        <f>MIN(INT(($T$4*Q30*1.3)*(1+$B$34+$E$34+$B$52+$K$35)),ReadMe!$M$99)</f>
        <v>158779</v>
      </c>
      <c r="Q33" s="1236"/>
      <c r="R33" s="86" t="s">
        <v>259</v>
      </c>
      <c r="S33" s="157">
        <f>MIN(INT(P33*$F$41),ReadMe!$M$99)</f>
        <v>238168</v>
      </c>
      <c r="T33" s="1565"/>
      <c r="U33" s="1557"/>
    </row>
    <row r="34" spans="1:21" ht="14.25" thickBot="1">
      <c r="A34" s="402"/>
      <c r="B34" s="1210">
        <v>0</v>
      </c>
      <c r="C34" s="1222"/>
      <c r="D34" s="1212"/>
      <c r="E34" s="1130">
        <v>0</v>
      </c>
      <c r="F34" s="1131"/>
      <c r="I34" s="1297" t="s">
        <v>1417</v>
      </c>
      <c r="J34" s="1298"/>
      <c r="K34" s="1299"/>
      <c r="N34" s="1342" t="s">
        <v>291</v>
      </c>
      <c r="O34" s="1420"/>
      <c r="P34" s="1420"/>
      <c r="Q34" s="1420"/>
      <c r="R34" s="1420"/>
      <c r="S34" s="1670">
        <f>(U35*T30+IF($A$23="true",$S$41,0))*$G$47</f>
        <v>12796166.351758795</v>
      </c>
      <c r="T34" s="1478"/>
      <c r="U34" s="1479"/>
    </row>
    <row r="35" spans="1:21" ht="14.25" thickBot="1">
      <c r="A35" s="402"/>
      <c r="I35" s="14" t="s">
        <v>1410</v>
      </c>
      <c r="J35" s="15"/>
      <c r="K35" s="534">
        <v>0</v>
      </c>
      <c r="U35" s="402">
        <f>U31/S4*S5</f>
        <v>146076.06030150753</v>
      </c>
    </row>
    <row r="36" spans="1:21" ht="14.25" thickBot="1">
      <c r="A36" s="402"/>
      <c r="B36" s="1816" t="s">
        <v>356</v>
      </c>
      <c r="C36" s="1817"/>
      <c r="D36" s="1818"/>
      <c r="E36" s="503" t="s">
        <v>257</v>
      </c>
      <c r="F36" s="19" t="s">
        <v>259</v>
      </c>
      <c r="G36" s="504" t="s">
        <v>1085</v>
      </c>
      <c r="N36" s="1158" t="s">
        <v>362</v>
      </c>
      <c r="O36" s="1159"/>
      <c r="P36" s="1159"/>
      <c r="Q36" s="1159"/>
      <c r="R36" s="1159"/>
      <c r="S36" s="1159"/>
      <c r="T36" s="1159"/>
      <c r="U36" s="1160"/>
    </row>
    <row r="37" spans="1:21" ht="14.25" thickBot="1">
      <c r="A37" s="402"/>
      <c r="B37" s="1813" t="s">
        <v>90</v>
      </c>
      <c r="C37" s="1814"/>
      <c r="D37" s="1815"/>
      <c r="E37" s="35">
        <v>1.4</v>
      </c>
      <c r="F37" s="507">
        <v>1.5</v>
      </c>
      <c r="G37" s="241">
        <v>0.45</v>
      </c>
      <c r="I37" s="1256" t="s">
        <v>438</v>
      </c>
      <c r="J37" s="1300"/>
      <c r="K37" s="1301"/>
      <c r="N37" s="142" t="s">
        <v>533</v>
      </c>
      <c r="O37" s="65">
        <v>10</v>
      </c>
      <c r="P37" s="142" t="s">
        <v>301</v>
      </c>
      <c r="Q37" s="601">
        <v>3</v>
      </c>
      <c r="R37" s="1668" t="s">
        <v>415</v>
      </c>
      <c r="S37" s="1669"/>
      <c r="T37" s="224">
        <v>92</v>
      </c>
      <c r="U37" s="732" t="s">
        <v>1096</v>
      </c>
    </row>
    <row r="38" spans="1:21" ht="14.25" thickBot="1">
      <c r="A38" s="402"/>
      <c r="B38" s="1288" t="s">
        <v>358</v>
      </c>
      <c r="C38" s="1289"/>
      <c r="D38" s="516">
        <v>0</v>
      </c>
      <c r="E38" s="506"/>
      <c r="F38" s="505">
        <f>D38/100</f>
        <v>0</v>
      </c>
      <c r="G38" s="511">
        <f>IF(D38=0,0,(5+ROUNDUP(D38/2,0))/100)</f>
        <v>0</v>
      </c>
      <c r="I38" s="1256" t="s">
        <v>440</v>
      </c>
      <c r="J38" s="1257"/>
      <c r="K38" s="1258"/>
      <c r="N38" s="1227" t="s">
        <v>327</v>
      </c>
      <c r="O38" s="76" t="s">
        <v>257</v>
      </c>
      <c r="P38" s="521">
        <f>MIN(INT(($R$4*Q37*1.3)*(1+$B$34+$E$34+$B$52+$K$35)),ReadMe!$M$99)</f>
        <v>35725</v>
      </c>
      <c r="Q38" s="1234" t="s">
        <v>347</v>
      </c>
      <c r="R38" s="186" t="s">
        <v>257</v>
      </c>
      <c r="S38" s="155">
        <f>MIN(INT(P38*$E$41),ReadMe!$M$99)</f>
        <v>50015</v>
      </c>
      <c r="T38" s="1564" t="s">
        <v>323</v>
      </c>
      <c r="U38" s="1556">
        <f>INT(P39*(1-$G$41)+S39*$G$41)</f>
        <v>50118</v>
      </c>
    </row>
    <row r="39" spans="1:21" ht="14.25" thickBot="1">
      <c r="A39" s="402" t="b">
        <v>0</v>
      </c>
      <c r="B39" s="1288" t="s">
        <v>360</v>
      </c>
      <c r="C39" s="1289"/>
      <c r="D39" s="512"/>
      <c r="E39" s="506"/>
      <c r="F39" s="505">
        <f>IF(H39="true",0.15,0)</f>
        <v>0</v>
      </c>
      <c r="G39" s="511">
        <f>IF(H39="true",0.1,0)</f>
        <v>0</v>
      </c>
      <c r="H39" s="402" t="str">
        <f>IF(A39=TRUE,"TRUE",IF(D39=1,"TRUE","FLASE"))</f>
        <v>FLASE</v>
      </c>
      <c r="I39" s="771" t="s">
        <v>437</v>
      </c>
      <c r="J39" s="205"/>
      <c r="K39" s="228">
        <v>0</v>
      </c>
      <c r="N39" s="1228"/>
      <c r="O39" s="43" t="s">
        <v>258</v>
      </c>
      <c r="P39" s="522">
        <f>INT((P38+P40)/2)</f>
        <v>41679</v>
      </c>
      <c r="Q39" s="1235"/>
      <c r="R39" s="79" t="s">
        <v>258</v>
      </c>
      <c r="S39" s="156">
        <f>MIN(INT(P39*(($E$41+$F$41)/2)),ReadMe!$M$99)</f>
        <v>60434</v>
      </c>
      <c r="T39" s="1565"/>
      <c r="U39" s="1557"/>
    </row>
    <row r="40" spans="1:21" ht="14.25" thickBot="1">
      <c r="A40" s="402"/>
      <c r="B40" s="1285" t="s">
        <v>89</v>
      </c>
      <c r="C40" s="1286"/>
      <c r="D40" s="1287"/>
      <c r="E40" s="513">
        <v>0</v>
      </c>
      <c r="F40" s="514">
        <v>0</v>
      </c>
      <c r="G40" s="515">
        <v>0</v>
      </c>
      <c r="N40" s="1229"/>
      <c r="O40" s="15" t="s">
        <v>259</v>
      </c>
      <c r="P40" s="523">
        <f>MIN(INT(($T$4*Q37*1.3)*(1+$B$34+$E$34+$B$52+$K$35)),ReadMe!$M$99)</f>
        <v>47633</v>
      </c>
      <c r="Q40" s="1236"/>
      <c r="R40" s="86" t="s">
        <v>259</v>
      </c>
      <c r="S40" s="157">
        <f>MIN(INT(P40*$F$41),ReadMe!$M$99)</f>
        <v>71449</v>
      </c>
      <c r="T40" s="1565"/>
      <c r="U40" s="1557"/>
    </row>
    <row r="41" spans="1:21" ht="14.25" thickBot="1">
      <c r="A41" s="402"/>
      <c r="B41" s="1290" t="s">
        <v>91</v>
      </c>
      <c r="C41" s="1291"/>
      <c r="D41" s="1292"/>
      <c r="E41" s="508">
        <f>E37+E39+E40</f>
        <v>1.4</v>
      </c>
      <c r="F41" s="509">
        <f>F37+MAX(F38,F39)+F40</f>
        <v>1.5</v>
      </c>
      <c r="G41" s="510">
        <f>G37+MAX(G38,G39)+G40</f>
        <v>0.45</v>
      </c>
      <c r="I41" s="1137" t="s">
        <v>359</v>
      </c>
      <c r="J41" s="1138"/>
      <c r="K41" s="1139"/>
      <c r="N41" s="1342" t="s">
        <v>291</v>
      </c>
      <c r="O41" s="1420"/>
      <c r="P41" s="1420"/>
      <c r="Q41" s="1420"/>
      <c r="R41" s="1420"/>
      <c r="S41" s="1670">
        <f>U42*T37*$G$47</f>
        <v>4031602.7336683418</v>
      </c>
      <c r="T41" s="1478"/>
      <c r="U41" s="1479"/>
    </row>
    <row r="42" spans="2:21" ht="14.25" thickBot="1">
      <c r="B42" s="1216" t="s">
        <v>331</v>
      </c>
      <c r="C42" s="1199"/>
      <c r="D42" s="1200"/>
      <c r="E42" s="1253">
        <f>(($E$41+$F$41)/2-1)*$G$41+1</f>
        <v>1.2025</v>
      </c>
      <c r="F42" s="1254"/>
      <c r="G42" s="1255"/>
      <c r="I42" s="416" t="s">
        <v>357</v>
      </c>
      <c r="J42" s="539"/>
      <c r="K42" s="204">
        <v>0</v>
      </c>
      <c r="L42" s="323"/>
      <c r="M42" s="323"/>
      <c r="U42" s="402">
        <f>U38/S4*S5</f>
        <v>43821.76884422111</v>
      </c>
    </row>
    <row r="43" spans="9:21" ht="14.25" thickBot="1">
      <c r="I43" s="417" t="s">
        <v>161</v>
      </c>
      <c r="J43" s="540"/>
      <c r="K43" s="418">
        <f>IF(K42&gt;0,(K42+10)/100,0)</f>
        <v>0</v>
      </c>
      <c r="N43" s="1158" t="s">
        <v>389</v>
      </c>
      <c r="O43" s="1159"/>
      <c r="P43" s="1159"/>
      <c r="Q43" s="1159"/>
      <c r="R43" s="1159"/>
      <c r="S43" s="1159"/>
      <c r="T43" s="1159"/>
      <c r="U43" s="1160"/>
    </row>
    <row r="44" spans="14:21" ht="14.25" thickBot="1">
      <c r="N44" s="147" t="s">
        <v>363</v>
      </c>
      <c r="O44" s="148">
        <f>D9</f>
        <v>1</v>
      </c>
      <c r="P44" s="147" t="s">
        <v>301</v>
      </c>
      <c r="Q44" s="606">
        <f>(1200+20*O44)/100</f>
        <v>12.2</v>
      </c>
      <c r="R44" s="1677" t="s">
        <v>765</v>
      </c>
      <c r="S44" s="1678"/>
      <c r="T44" s="681">
        <f>60-2*INT(O44/2)</f>
        <v>60</v>
      </c>
      <c r="U44" s="200"/>
    </row>
    <row r="45" spans="2:21" ht="14.25" thickBot="1">
      <c r="B45" s="1282" t="s">
        <v>735</v>
      </c>
      <c r="C45" s="1283"/>
      <c r="D45" s="533">
        <v>125</v>
      </c>
      <c r="E45" s="1249" t="s">
        <v>736</v>
      </c>
      <c r="F45" s="1250"/>
      <c r="G45" s="25">
        <f>IF(D2&gt;D45,0,$D$45-$D$2)</f>
        <v>0</v>
      </c>
      <c r="I45" s="1246" t="s">
        <v>361</v>
      </c>
      <c r="J45" s="1247"/>
      <c r="K45" s="1248"/>
      <c r="L45" s="323"/>
      <c r="M45" s="162"/>
      <c r="N45" s="1227" t="s">
        <v>327</v>
      </c>
      <c r="O45" s="76" t="s">
        <v>257</v>
      </c>
      <c r="P45" s="521">
        <f>MIN(INT(($R$4*Q44*1.3)*(1+$B$34+$E$34+$B$52+$K$35)),ReadMe!$M$99)</f>
        <v>145283</v>
      </c>
      <c r="Q45" s="1234" t="s">
        <v>347</v>
      </c>
      <c r="R45" s="186" t="s">
        <v>257</v>
      </c>
      <c r="S45" s="155">
        <f>MIN(INT(P45*$E$41),ReadMe!$M$99)</f>
        <v>203396</v>
      </c>
      <c r="T45" s="1564" t="s">
        <v>323</v>
      </c>
      <c r="U45" s="1556">
        <f>INT(P46*(1-$G$41)+S46*$G$41)</f>
        <v>203819</v>
      </c>
    </row>
    <row r="46" spans="2:21" ht="13.5">
      <c r="B46" s="1242" t="s">
        <v>769</v>
      </c>
      <c r="C46" s="1243"/>
      <c r="D46" s="9">
        <v>12</v>
      </c>
      <c r="E46" s="1242" t="s">
        <v>771</v>
      </c>
      <c r="F46" s="1243"/>
      <c r="G46" s="615">
        <f>IF(G45&gt;0,"-",D46)</f>
        <v>12</v>
      </c>
      <c r="I46" s="1127" t="s">
        <v>988</v>
      </c>
      <c r="J46" s="1217"/>
      <c r="K46" s="468"/>
      <c r="L46" s="486" t="b">
        <v>0</v>
      </c>
      <c r="M46" s="486" t="str">
        <f>IF(L46=TRUE,"TRUE",IF(K46=1,"TRUE","FLASE"))</f>
        <v>FLASE</v>
      </c>
      <c r="N46" s="1228"/>
      <c r="O46" s="43" t="s">
        <v>258</v>
      </c>
      <c r="P46" s="522">
        <f>INT((P45+P47)/2)</f>
        <v>169497</v>
      </c>
      <c r="Q46" s="1235"/>
      <c r="R46" s="79" t="s">
        <v>258</v>
      </c>
      <c r="S46" s="156">
        <f>MIN(INT(P46*(($E$41+$F$41)/2)),ReadMe!$M$99)</f>
        <v>245770</v>
      </c>
      <c r="T46" s="1565"/>
      <c r="U46" s="1557"/>
    </row>
    <row r="47" spans="2:21" ht="14.25" thickBot="1">
      <c r="B47" s="1293" t="s">
        <v>734</v>
      </c>
      <c r="C47" s="1294"/>
      <c r="D47" s="9">
        <v>0</v>
      </c>
      <c r="E47" s="1242" t="s">
        <v>770</v>
      </c>
      <c r="F47" s="1243"/>
      <c r="G47" s="511">
        <f>MAX((MIN(100+SQRT($K$29)-SQRT($D$46),100)-2*G45)/100,0)</f>
        <v>1</v>
      </c>
      <c r="I47" s="1244" t="s">
        <v>989</v>
      </c>
      <c r="J47" s="1245"/>
      <c r="K47" s="469"/>
      <c r="L47" s="486" t="b">
        <v>0</v>
      </c>
      <c r="M47" s="486" t="str">
        <f>IF(L47=TRUE,"TRUE",IF(K47=1,"TRUE","FLASE"))</f>
        <v>FLASE</v>
      </c>
      <c r="N47" s="1229"/>
      <c r="O47" s="15" t="s">
        <v>259</v>
      </c>
      <c r="P47" s="523">
        <f>MIN(INT(($T$4*Q44*1.3)*(1+$B$34+$E$34+$B$52+$K$35)),ReadMe!$M$99)</f>
        <v>193711</v>
      </c>
      <c r="Q47" s="1236"/>
      <c r="R47" s="86" t="s">
        <v>259</v>
      </c>
      <c r="S47" s="157">
        <f>MIN(INT(P47*$F$41),ReadMe!$M$99)</f>
        <v>290566</v>
      </c>
      <c r="T47" s="1566"/>
      <c r="U47" s="1558"/>
    </row>
    <row r="48" spans="2:13" ht="14.25" thickBot="1">
      <c r="B48" s="1278" t="s">
        <v>979</v>
      </c>
      <c r="C48" s="1279"/>
      <c r="D48" s="534">
        <v>0.25</v>
      </c>
      <c r="E48" s="1197" t="s">
        <v>980</v>
      </c>
      <c r="F48" s="1198"/>
      <c r="G48" s="28">
        <f>1-(D48-ROUNDUP(D48*(K43+B32+0.2),2))</f>
        <v>0.8</v>
      </c>
      <c r="I48" s="1240" t="s">
        <v>854</v>
      </c>
      <c r="J48" s="1241"/>
      <c r="K48" s="206">
        <f>IF(M46="TRUE",1.04,IF(M47="TRUE",1.02,1))</f>
        <v>1</v>
      </c>
      <c r="L48" s="323"/>
      <c r="M48" s="323"/>
    </row>
    <row r="49" spans="4:19" ht="14.25" thickBot="1">
      <c r="D49" s="402">
        <f>$D$47*(1-($K$43+$B$32))</f>
        <v>0</v>
      </c>
      <c r="E49" s="1197" t="s">
        <v>6</v>
      </c>
      <c r="F49" s="1198"/>
      <c r="G49" s="28">
        <f>1-(D48-ROUNDUP(D48*(K43+B32+S18+0.2),2))</f>
        <v>0.85</v>
      </c>
      <c r="N49" s="1237" t="s">
        <v>364</v>
      </c>
      <c r="O49" s="1238"/>
      <c r="P49" s="1238"/>
      <c r="Q49" s="1239"/>
      <c r="R49" s="465" t="s">
        <v>310</v>
      </c>
      <c r="S49" s="462">
        <v>0.75</v>
      </c>
    </row>
    <row r="50" spans="2:19" ht="14.25" thickBot="1">
      <c r="B50" s="1153" t="s">
        <v>1084</v>
      </c>
      <c r="C50" s="1133"/>
      <c r="D50" s="1129"/>
      <c r="N50" s="1458" t="s">
        <v>1294</v>
      </c>
      <c r="O50" s="1500"/>
      <c r="P50" s="694">
        <v>1</v>
      </c>
      <c r="Q50" s="1465" t="s">
        <v>1334</v>
      </c>
      <c r="R50" s="1466"/>
      <c r="S50" s="313">
        <v>1</v>
      </c>
    </row>
    <row r="51" spans="2:19" ht="14.25" thickBot="1">
      <c r="B51" s="1187" t="s">
        <v>877</v>
      </c>
      <c r="C51" s="1188"/>
      <c r="D51" s="1189"/>
      <c r="N51" s="1227" t="s">
        <v>327</v>
      </c>
      <c r="O51" s="76" t="s">
        <v>257</v>
      </c>
      <c r="P51" s="521">
        <f>MIN(INT(($R$4*P50*1.3)*(1+$B$34+$E$34+$B$52+$K$35)),ReadMe!$M$99)</f>
        <v>11908</v>
      </c>
      <c r="Q51" s="1234" t="s">
        <v>347</v>
      </c>
      <c r="R51" s="186" t="s">
        <v>257</v>
      </c>
      <c r="S51" s="155">
        <f>MIN(INT(P51*$E$41),ReadMe!$M$99)</f>
        <v>16671</v>
      </c>
    </row>
    <row r="52" spans="2:19" ht="14.25" thickBot="1">
      <c r="B52" s="1194">
        <v>0</v>
      </c>
      <c r="C52" s="1195"/>
      <c r="D52" s="1196"/>
      <c r="N52" s="1228"/>
      <c r="O52" s="43" t="s">
        <v>258</v>
      </c>
      <c r="P52" s="522">
        <f>INT((P51+P53)/2)</f>
        <v>13892</v>
      </c>
      <c r="Q52" s="1235"/>
      <c r="R52" s="79" t="s">
        <v>258</v>
      </c>
      <c r="S52" s="156">
        <f>MIN(INT(P52*(($E$41+$F$41)/2)),ReadMe!$M$99)</f>
        <v>20143</v>
      </c>
    </row>
    <row r="53" spans="14:19" ht="14.25" thickBot="1">
      <c r="N53" s="1229"/>
      <c r="O53" s="15" t="s">
        <v>259</v>
      </c>
      <c r="P53" s="523">
        <f>MIN(INT(($T$4*P50*1.3)*(1+$B$34+$E$34+$B$52+$K$35)),ReadMe!$M$99)</f>
        <v>15877</v>
      </c>
      <c r="Q53" s="1236"/>
      <c r="R53" s="86" t="s">
        <v>259</v>
      </c>
      <c r="S53" s="157">
        <f>MIN(INT(P53*$F$41),ReadMe!$M$99)</f>
        <v>23815</v>
      </c>
    </row>
    <row r="54" spans="2:19" ht="14.25" thickBot="1">
      <c r="B54" s="1201" t="s">
        <v>265</v>
      </c>
      <c r="C54" s="1202"/>
      <c r="D54" s="1202"/>
      <c r="E54" s="1202"/>
      <c r="F54" s="1202"/>
      <c r="G54" s="1202"/>
      <c r="H54" s="1202"/>
      <c r="I54" s="1202"/>
      <c r="J54" s="1202"/>
      <c r="K54" s="1202"/>
      <c r="L54" s="1203"/>
      <c r="N54" s="1302" t="s">
        <v>323</v>
      </c>
      <c r="O54" s="1303"/>
      <c r="P54" s="1304"/>
      <c r="Q54" s="1302">
        <f>INT(P52*(1-$G$41)+S52*$G$41)</f>
        <v>16704</v>
      </c>
      <c r="R54" s="1303"/>
      <c r="S54" s="1304"/>
    </row>
    <row r="55" spans="2:19" ht="14.25" thickBot="1">
      <c r="B55" s="1639" t="s">
        <v>1277</v>
      </c>
      <c r="C55" s="1640"/>
      <c r="D55" s="1640"/>
      <c r="E55" s="1640"/>
      <c r="F55" s="1640"/>
      <c r="G55" s="1640"/>
      <c r="H55" s="1640"/>
      <c r="I55" s="1640"/>
      <c r="J55" s="1640"/>
      <c r="K55" s="1640"/>
      <c r="L55" s="1641"/>
      <c r="N55" s="1302" t="s">
        <v>726</v>
      </c>
      <c r="O55" s="1303"/>
      <c r="P55" s="1304"/>
      <c r="Q55" s="1489">
        <f>Q54*S50</f>
        <v>16704</v>
      </c>
      <c r="R55" s="1463"/>
      <c r="S55" s="1464"/>
    </row>
    <row r="56" spans="2:12" ht="13.5">
      <c r="B56" s="1273" t="s">
        <v>1274</v>
      </c>
      <c r="C56" s="1275"/>
      <c r="D56" s="1275"/>
      <c r="E56" s="1275"/>
      <c r="F56" s="1275"/>
      <c r="G56" s="1275"/>
      <c r="H56" s="1275"/>
      <c r="I56" s="1275"/>
      <c r="J56" s="1275"/>
      <c r="K56" s="1275"/>
      <c r="L56" s="1277"/>
    </row>
    <row r="57" spans="2:12" ht="13.5">
      <c r="B57" s="1748" t="s">
        <v>1275</v>
      </c>
      <c r="C57" s="1749"/>
      <c r="D57" s="1749"/>
      <c r="E57" s="1749"/>
      <c r="F57" s="1749"/>
      <c r="G57" s="1749"/>
      <c r="H57" s="1749"/>
      <c r="I57" s="1749"/>
      <c r="J57" s="1749"/>
      <c r="K57" s="1749"/>
      <c r="L57" s="1750"/>
    </row>
    <row r="58" spans="2:12" ht="13.5">
      <c r="B58" s="1748" t="s">
        <v>1276</v>
      </c>
      <c r="C58" s="1749"/>
      <c r="D58" s="1749"/>
      <c r="E58" s="1749"/>
      <c r="F58" s="1749"/>
      <c r="G58" s="1749"/>
      <c r="H58" s="1749"/>
      <c r="I58" s="1749"/>
      <c r="J58" s="1749"/>
      <c r="K58" s="1749"/>
      <c r="L58" s="1750"/>
    </row>
    <row r="59" spans="2:12" ht="13.5">
      <c r="B59" s="1273" t="s">
        <v>1097</v>
      </c>
      <c r="C59" s="1275"/>
      <c r="D59" s="1275"/>
      <c r="E59" s="1275"/>
      <c r="F59" s="1275"/>
      <c r="G59" s="1275"/>
      <c r="H59" s="1275"/>
      <c r="I59" s="1275"/>
      <c r="J59" s="1275"/>
      <c r="K59" s="1275"/>
      <c r="L59" s="1277"/>
    </row>
    <row r="60" spans="2:12" ht="13.5">
      <c r="B60" s="1273" t="s">
        <v>1098</v>
      </c>
      <c r="C60" s="1275"/>
      <c r="D60" s="1275"/>
      <c r="E60" s="1275"/>
      <c r="F60" s="1275"/>
      <c r="G60" s="1275"/>
      <c r="H60" s="1275"/>
      <c r="I60" s="1275"/>
      <c r="J60" s="1275"/>
      <c r="K60" s="1275"/>
      <c r="L60" s="1277"/>
    </row>
    <row r="61" spans="2:12" ht="14.25" thickBot="1">
      <c r="B61" s="1263" t="s">
        <v>1215</v>
      </c>
      <c r="C61" s="1265"/>
      <c r="D61" s="1265"/>
      <c r="E61" s="1265"/>
      <c r="F61" s="1265"/>
      <c r="G61" s="1265"/>
      <c r="H61" s="1265"/>
      <c r="I61" s="1265"/>
      <c r="J61" s="1265"/>
      <c r="K61" s="1265"/>
      <c r="L61" s="1267"/>
    </row>
    <row r="62" ht="14.25" thickBot="1"/>
    <row r="63" spans="2:12" ht="13.5">
      <c r="B63" s="1201" t="s">
        <v>701</v>
      </c>
      <c r="C63" s="1202"/>
      <c r="D63" s="1202"/>
      <c r="E63" s="1202"/>
      <c r="F63" s="1202"/>
      <c r="G63" s="1202"/>
      <c r="H63" s="1202"/>
      <c r="I63" s="1202"/>
      <c r="J63" s="1202"/>
      <c r="K63" s="1202"/>
      <c r="L63" s="1203"/>
    </row>
    <row r="64" spans="2:12" ht="13.5">
      <c r="B64" s="1273" t="s">
        <v>1227</v>
      </c>
      <c r="C64" s="1275"/>
      <c r="D64" s="1275"/>
      <c r="E64" s="1275"/>
      <c r="F64" s="1275"/>
      <c r="G64" s="1275"/>
      <c r="H64" s="1275"/>
      <c r="I64" s="1275"/>
      <c r="J64" s="1275"/>
      <c r="K64" s="1275"/>
      <c r="L64" s="1277"/>
    </row>
    <row r="65" spans="2:12" ht="13.5">
      <c r="B65" s="1273" t="s">
        <v>1228</v>
      </c>
      <c r="C65" s="1275"/>
      <c r="D65" s="1275"/>
      <c r="E65" s="1275"/>
      <c r="F65" s="1275"/>
      <c r="G65" s="1275"/>
      <c r="H65" s="1275"/>
      <c r="I65" s="1275"/>
      <c r="J65" s="1275"/>
      <c r="K65" s="1275"/>
      <c r="L65" s="1277"/>
    </row>
    <row r="66" spans="2:12" ht="13.5">
      <c r="B66" s="1273" t="s">
        <v>1229</v>
      </c>
      <c r="C66" s="1275"/>
      <c r="D66" s="1275"/>
      <c r="E66" s="1275"/>
      <c r="F66" s="1275"/>
      <c r="G66" s="1275"/>
      <c r="H66" s="1275"/>
      <c r="I66" s="1275"/>
      <c r="J66" s="1275"/>
      <c r="K66" s="1275"/>
      <c r="L66" s="1277"/>
    </row>
    <row r="67" spans="2:12" ht="13.5">
      <c r="B67" s="1273" t="s">
        <v>1230</v>
      </c>
      <c r="C67" s="1275"/>
      <c r="D67" s="1275"/>
      <c r="E67" s="1275"/>
      <c r="F67" s="1275"/>
      <c r="G67" s="1275"/>
      <c r="H67" s="1275"/>
      <c r="I67" s="1275"/>
      <c r="J67" s="1275"/>
      <c r="K67" s="1275"/>
      <c r="L67" s="1277"/>
    </row>
    <row r="68" spans="2:12" ht="14.25" thickBot="1">
      <c r="B68" s="1263" t="s">
        <v>1231</v>
      </c>
      <c r="C68" s="1265"/>
      <c r="D68" s="1265"/>
      <c r="E68" s="1265"/>
      <c r="F68" s="1265"/>
      <c r="G68" s="1265"/>
      <c r="H68" s="1265"/>
      <c r="I68" s="1265"/>
      <c r="J68" s="1265"/>
      <c r="K68" s="1265"/>
      <c r="L68" s="1267"/>
    </row>
  </sheetData>
  <sheetProtection/>
  <protectedRanges>
    <protectedRange sqref="D45:D46 D48" name="範囲1_1_1"/>
  </protectedRanges>
  <mergeCells count="117">
    <mergeCell ref="I34:K34"/>
    <mergeCell ref="B58:L58"/>
    <mergeCell ref="B55:L55"/>
    <mergeCell ref="I37:K37"/>
    <mergeCell ref="I38:K38"/>
    <mergeCell ref="I41:K41"/>
    <mergeCell ref="I47:J47"/>
    <mergeCell ref="I48:J48"/>
    <mergeCell ref="B57:L57"/>
    <mergeCell ref="I46:J46"/>
    <mergeCell ref="Q38:Q40"/>
    <mergeCell ref="S41:U41"/>
    <mergeCell ref="R37:S37"/>
    <mergeCell ref="W26:X26"/>
    <mergeCell ref="U25:U27"/>
    <mergeCell ref="S34:U34"/>
    <mergeCell ref="T31:T33"/>
    <mergeCell ref="W20:X20"/>
    <mergeCell ref="Q19:Q21"/>
    <mergeCell ref="T19:T21"/>
    <mergeCell ref="B54:L54"/>
    <mergeCell ref="B39:C39"/>
    <mergeCell ref="Q54:S54"/>
    <mergeCell ref="B47:C47"/>
    <mergeCell ref="N19:N21"/>
    <mergeCell ref="N31:N33"/>
    <mergeCell ref="B51:D51"/>
    <mergeCell ref="W11:X11"/>
    <mergeCell ref="W12:X12"/>
    <mergeCell ref="N36:U36"/>
    <mergeCell ref="N17:U17"/>
    <mergeCell ref="Q10:Q12"/>
    <mergeCell ref="N13:N15"/>
    <mergeCell ref="Q25:Q27"/>
    <mergeCell ref="T10:T12"/>
    <mergeCell ref="N34:R34"/>
    <mergeCell ref="N25:N27"/>
    <mergeCell ref="R2:T2"/>
    <mergeCell ref="B30:K30"/>
    <mergeCell ref="B31:D31"/>
    <mergeCell ref="E31:F31"/>
    <mergeCell ref="B2:C2"/>
    <mergeCell ref="B27:C27"/>
    <mergeCell ref="B9:C9"/>
    <mergeCell ref="N5:P5"/>
    <mergeCell ref="N8:U8"/>
    <mergeCell ref="R9:S9"/>
    <mergeCell ref="Q13:R15"/>
    <mergeCell ref="U19:U21"/>
    <mergeCell ref="N49:Q49"/>
    <mergeCell ref="U31:U33"/>
    <mergeCell ref="Q31:Q33"/>
    <mergeCell ref="N29:U29"/>
    <mergeCell ref="R30:S30"/>
    <mergeCell ref="T38:T40"/>
    <mergeCell ref="U38:U40"/>
    <mergeCell ref="R44:S44"/>
    <mergeCell ref="B52:D52"/>
    <mergeCell ref="E49:F49"/>
    <mergeCell ref="Q51:Q53"/>
    <mergeCell ref="B45:C45"/>
    <mergeCell ref="E45:F45"/>
    <mergeCell ref="B48:C48"/>
    <mergeCell ref="E48:F48"/>
    <mergeCell ref="B50:D50"/>
    <mergeCell ref="B46:C46"/>
    <mergeCell ref="E46:F46"/>
    <mergeCell ref="F1:P1"/>
    <mergeCell ref="I45:K45"/>
    <mergeCell ref="B33:D33"/>
    <mergeCell ref="E34:F34"/>
    <mergeCell ref="N2:P2"/>
    <mergeCell ref="B32:D32"/>
    <mergeCell ref="E32:F32"/>
    <mergeCell ref="E33:F33"/>
    <mergeCell ref="E42:G42"/>
    <mergeCell ref="B42:D42"/>
    <mergeCell ref="E47:F47"/>
    <mergeCell ref="N55:P55"/>
    <mergeCell ref="B34:D34"/>
    <mergeCell ref="U10:U12"/>
    <mergeCell ref="T25:T27"/>
    <mergeCell ref="N38:N40"/>
    <mergeCell ref="U45:U47"/>
    <mergeCell ref="T45:T47"/>
    <mergeCell ref="Q45:Q47"/>
    <mergeCell ref="N41:R41"/>
    <mergeCell ref="B60:L60"/>
    <mergeCell ref="N10:N12"/>
    <mergeCell ref="S13:U15"/>
    <mergeCell ref="T18:U18"/>
    <mergeCell ref="Q55:S55"/>
    <mergeCell ref="N43:U43"/>
    <mergeCell ref="N45:N47"/>
    <mergeCell ref="N50:O50"/>
    <mergeCell ref="Q50:R50"/>
    <mergeCell ref="N51:N53"/>
    <mergeCell ref="B59:L59"/>
    <mergeCell ref="N54:P54"/>
    <mergeCell ref="B56:L56"/>
    <mergeCell ref="B68:L68"/>
    <mergeCell ref="B64:L64"/>
    <mergeCell ref="B65:L65"/>
    <mergeCell ref="B66:L66"/>
    <mergeCell ref="B67:L67"/>
    <mergeCell ref="B61:L61"/>
    <mergeCell ref="B63:L63"/>
    <mergeCell ref="B41:D41"/>
    <mergeCell ref="B40:D40"/>
    <mergeCell ref="W4:X4"/>
    <mergeCell ref="B38:C38"/>
    <mergeCell ref="B37:D37"/>
    <mergeCell ref="W5:X5"/>
    <mergeCell ref="B4:D4"/>
    <mergeCell ref="B36:D36"/>
    <mergeCell ref="W14:X14"/>
    <mergeCell ref="N23:U23"/>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7.xml><?xml version="1.0" encoding="utf-8"?>
<worksheet xmlns="http://schemas.openxmlformats.org/spreadsheetml/2006/main" xmlns:r="http://schemas.openxmlformats.org/officeDocument/2006/relationships">
  <dimension ref="A1:AA84"/>
  <sheetViews>
    <sheetView workbookViewId="0" topLeftCell="N1">
      <selection activeCell="C17" sqref="C17"/>
    </sheetView>
  </sheetViews>
  <sheetFormatPr defaultColWidth="9.00390625" defaultRowHeight="13.5"/>
  <cols>
    <col min="1" max="1" width="2.625" style="0" customWidth="1"/>
    <col min="2" max="11" width="5.625" style="0" customWidth="1"/>
    <col min="12" max="13" width="2.625" style="0" customWidth="1"/>
    <col min="21" max="21" width="1.625" style="0" customWidth="1"/>
    <col min="22" max="26" width="9.00390625" style="777" customWidth="1"/>
  </cols>
  <sheetData>
    <row r="1" spans="6:26" ht="24.75" thickBot="1">
      <c r="F1" s="1223" t="s">
        <v>1033</v>
      </c>
      <c r="G1" s="1223"/>
      <c r="H1" s="1223"/>
      <c r="I1" s="1223"/>
      <c r="J1" s="1223"/>
      <c r="K1" s="1223"/>
      <c r="L1" s="1223"/>
      <c r="M1" s="1223"/>
      <c r="N1" s="1223"/>
      <c r="O1" s="1223"/>
      <c r="P1" s="1223"/>
      <c r="V1" s="776"/>
      <c r="W1" s="776"/>
      <c r="X1" s="776"/>
      <c r="Y1" s="776"/>
      <c r="Z1" s="776"/>
    </row>
    <row r="2" spans="2:25" ht="14.25" thickBot="1">
      <c r="B2" s="1153" t="s">
        <v>1019</v>
      </c>
      <c r="C2" s="1154"/>
      <c r="D2" s="2">
        <v>150</v>
      </c>
      <c r="E2" s="1"/>
      <c r="F2" s="3" t="s">
        <v>325</v>
      </c>
      <c r="G2" s="3" t="s">
        <v>849</v>
      </c>
      <c r="H2" s="3" t="s">
        <v>850</v>
      </c>
      <c r="I2" s="3" t="s">
        <v>852</v>
      </c>
      <c r="J2" s="3" t="s">
        <v>851</v>
      </c>
      <c r="K2" s="25" t="s">
        <v>749</v>
      </c>
      <c r="N2" s="1224" t="s">
        <v>301</v>
      </c>
      <c r="O2" s="1225"/>
      <c r="P2" s="1226"/>
      <c r="R2" s="1149" t="s">
        <v>737</v>
      </c>
      <c r="S2" s="1144"/>
      <c r="T2" s="1140"/>
      <c r="V2" s="1359" t="s">
        <v>1109</v>
      </c>
      <c r="W2" s="1360"/>
      <c r="X2" s="1360"/>
      <c r="Y2" s="1361"/>
    </row>
    <row r="3" spans="2:25" ht="14.25" thickBot="1">
      <c r="B3" s="5" t="s">
        <v>241</v>
      </c>
      <c r="C3" s="536"/>
      <c r="D3" s="6">
        <f>((D2-1)*5+IF(D2&gt;=120,35,IF(D2&gt;=70,30,25)))-(G3+H3+I3+J3)</f>
        <v>0</v>
      </c>
      <c r="E3" s="7" t="s">
        <v>242</v>
      </c>
      <c r="F3" s="8"/>
      <c r="G3" s="8">
        <v>67</v>
      </c>
      <c r="H3" s="8">
        <v>705</v>
      </c>
      <c r="I3" s="8">
        <v>4</v>
      </c>
      <c r="J3" s="8">
        <v>4</v>
      </c>
      <c r="K3" s="9"/>
      <c r="N3" s="10" t="s">
        <v>270</v>
      </c>
      <c r="O3" s="11" t="s">
        <v>271</v>
      </c>
      <c r="P3" s="12" t="s">
        <v>272</v>
      </c>
      <c r="R3" s="1" t="s">
        <v>270</v>
      </c>
      <c r="S3" s="3" t="s">
        <v>271</v>
      </c>
      <c r="T3" s="4" t="s">
        <v>272</v>
      </c>
      <c r="V3" s="778" t="s">
        <v>330</v>
      </c>
      <c r="W3" s="779">
        <f>(2*20)/100</f>
        <v>0.4</v>
      </c>
      <c r="X3" s="780" t="s">
        <v>252</v>
      </c>
      <c r="Y3" s="781">
        <f>(100+5*(20/2))/100</f>
        <v>1.5</v>
      </c>
    </row>
    <row r="4" spans="2:25" ht="14.25" thickBot="1">
      <c r="B4" s="1201" t="s">
        <v>332</v>
      </c>
      <c r="C4" s="1202"/>
      <c r="D4" s="1202"/>
      <c r="E4" s="7" t="s">
        <v>243</v>
      </c>
      <c r="F4" s="8">
        <v>126</v>
      </c>
      <c r="G4" s="8"/>
      <c r="H4" s="8">
        <v>7</v>
      </c>
      <c r="I4" s="8"/>
      <c r="J4" s="8"/>
      <c r="K4" s="9"/>
      <c r="N4" s="14">
        <f>P4*D26</f>
        <v>8745.6024</v>
      </c>
      <c r="O4" s="15">
        <f>(P4+N4)/2</f>
        <v>9517.2732</v>
      </c>
      <c r="P4" s="16">
        <f>$Q$4*($F$29+INT(($F$29*($E$32+$K$52+$K$43+D13-1))))/100</f>
        <v>10288.944</v>
      </c>
      <c r="Q4" s="402">
        <f>1.35*(4*$H$29+$G$29)</f>
        <v>5043.6</v>
      </c>
      <c r="R4" s="14">
        <f>N4*$G$48*(1-$G$45/100)</f>
        <v>6996.48192</v>
      </c>
      <c r="S4" s="15">
        <f>O4*$G$48*(1-$G$45/100)</f>
        <v>7613.81856</v>
      </c>
      <c r="T4" s="16">
        <f>P4*$G$48*(1-$G$45/100)</f>
        <v>8231.1552</v>
      </c>
      <c r="V4" s="775" t="s">
        <v>1043</v>
      </c>
      <c r="W4" s="782">
        <f>MIN(INT(($R$4*Y3)*(1+$B$34+$E$34+$B$52+$K$35)),ReadMe!$M$99)</f>
        <v>10494</v>
      </c>
      <c r="X4" s="1035" t="s">
        <v>976</v>
      </c>
      <c r="Y4" s="1036">
        <f>MIN(INT(W4*E41),ReadMe!$M$99)</f>
        <v>14166</v>
      </c>
    </row>
    <row r="5" spans="2:25" ht="14.25" thickBot="1">
      <c r="B5" s="163" t="s">
        <v>244</v>
      </c>
      <c r="C5" s="397"/>
      <c r="D5" s="164">
        <v>6</v>
      </c>
      <c r="E5" s="7" t="s">
        <v>245</v>
      </c>
      <c r="F5" s="8"/>
      <c r="G5" s="8"/>
      <c r="H5" s="8"/>
      <c r="I5" s="8"/>
      <c r="J5" s="8"/>
      <c r="K5" s="9"/>
      <c r="O5" s="323"/>
      <c r="P5" s="402">
        <f>$Q$4*($F$29+INT(($F$29*($E$32+$K$52+$K$43+C13-1))))/100</f>
        <v>10288.944</v>
      </c>
      <c r="Q5" s="323"/>
      <c r="R5" s="323"/>
      <c r="S5" s="323"/>
      <c r="T5" s="323"/>
      <c r="V5" s="783" t="s">
        <v>1044</v>
      </c>
      <c r="W5" s="719">
        <f>INT((W4+W6)/2)</f>
        <v>11420</v>
      </c>
      <c r="X5" s="1037" t="s">
        <v>977</v>
      </c>
      <c r="Y5" s="156">
        <f>MIN(INT(W5*(($E$41+$F$41)/2)),ReadMe!$M$99)</f>
        <v>17986</v>
      </c>
    </row>
    <row r="6" spans="2:27" ht="14.25" thickBot="1">
      <c r="B6" s="36" t="s">
        <v>1036</v>
      </c>
      <c r="C6" s="605"/>
      <c r="D6" s="137">
        <v>30</v>
      </c>
      <c r="E6" s="42" t="s">
        <v>246</v>
      </c>
      <c r="F6" s="8"/>
      <c r="G6" s="8">
        <v>10</v>
      </c>
      <c r="H6" s="8">
        <v>20</v>
      </c>
      <c r="I6" s="8">
        <v>10</v>
      </c>
      <c r="J6" s="8">
        <v>10</v>
      </c>
      <c r="K6" s="9">
        <v>10</v>
      </c>
      <c r="O6" s="1158" t="s">
        <v>1041</v>
      </c>
      <c r="P6" s="1159"/>
      <c r="Q6" s="1159"/>
      <c r="R6" s="1159"/>
      <c r="S6" s="1159"/>
      <c r="T6" s="1160"/>
      <c r="V6" s="784" t="s">
        <v>975</v>
      </c>
      <c r="W6" s="785">
        <f>MIN(INT(($T$4*Y3)*(1+$B$34+$E$34+$B$52+$K$35)),ReadMe!$M$99)</f>
        <v>12346</v>
      </c>
      <c r="X6" s="1038" t="s">
        <v>978</v>
      </c>
      <c r="Y6" s="1039">
        <f>MIN(INT(W6*F41),ReadMe!$M$99)</f>
        <v>22222</v>
      </c>
      <c r="AA6" s="21"/>
    </row>
    <row r="7" spans="2:27" ht="14.25" thickBot="1">
      <c r="B7" s="759" t="s">
        <v>777</v>
      </c>
      <c r="C7" s="40"/>
      <c r="D7" s="9">
        <v>1</v>
      </c>
      <c r="E7" s="42" t="s">
        <v>247</v>
      </c>
      <c r="F7" s="8">
        <v>5</v>
      </c>
      <c r="G7" s="8"/>
      <c r="H7" s="8"/>
      <c r="I7" s="8"/>
      <c r="J7" s="8"/>
      <c r="K7" s="9"/>
      <c r="O7" s="244" t="s">
        <v>447</v>
      </c>
      <c r="P7" s="202">
        <f>D6</f>
        <v>30</v>
      </c>
      <c r="Q7" s="221" t="s">
        <v>252</v>
      </c>
      <c r="R7" s="530">
        <f>(160+2*D6)/100</f>
        <v>2.2</v>
      </c>
      <c r="S7" s="531" t="s">
        <v>326</v>
      </c>
      <c r="T7" s="532">
        <v>500</v>
      </c>
      <c r="V7" s="1829" t="s">
        <v>1118</v>
      </c>
      <c r="W7" s="1830"/>
      <c r="X7" s="1831">
        <f>INT(W5*(1-G41)+Y5*G41)</f>
        <v>15687</v>
      </c>
      <c r="Y7" s="1832"/>
      <c r="Z7" s="403">
        <f>X7/$P$4*$P$5</f>
        <v>15687</v>
      </c>
      <c r="AA7" s="526"/>
    </row>
    <row r="8" spans="2:20" ht="13.5" customHeight="1" thickBot="1">
      <c r="B8" s="626" t="s">
        <v>780</v>
      </c>
      <c r="C8" s="15"/>
      <c r="D8" s="228">
        <v>1</v>
      </c>
      <c r="E8" s="42" t="s">
        <v>248</v>
      </c>
      <c r="F8" s="8">
        <v>2</v>
      </c>
      <c r="G8" s="8"/>
      <c r="H8" s="8">
        <v>2</v>
      </c>
      <c r="I8" s="8"/>
      <c r="J8" s="8"/>
      <c r="K8" s="9">
        <v>7</v>
      </c>
      <c r="O8" s="1227" t="s">
        <v>327</v>
      </c>
      <c r="P8" s="84" t="s">
        <v>257</v>
      </c>
      <c r="Q8" s="521">
        <f>MIN(INT(($R$4*R7)*(1+$B$34+$E$34+$B$52+$K$35)),ReadMe!$M$99)</f>
        <v>15392</v>
      </c>
      <c r="R8" s="1453" t="s">
        <v>1020</v>
      </c>
      <c r="S8" s="93" t="s">
        <v>257</v>
      </c>
      <c r="T8" s="155">
        <f>MIN(INT(Q8*E41),ReadMe!$M$99)</f>
        <v>20779</v>
      </c>
    </row>
    <row r="9" spans="2:20" ht="13.5">
      <c r="B9" s="762" t="s">
        <v>776</v>
      </c>
      <c r="C9" s="763"/>
      <c r="D9" s="204">
        <v>10</v>
      </c>
      <c r="E9" s="42" t="s">
        <v>249</v>
      </c>
      <c r="F9" s="8"/>
      <c r="G9" s="8">
        <v>7</v>
      </c>
      <c r="H9" s="8">
        <v>7</v>
      </c>
      <c r="I9" s="8">
        <v>7</v>
      </c>
      <c r="J9" s="8">
        <v>7</v>
      </c>
      <c r="K9" s="9"/>
      <c r="O9" s="1228"/>
      <c r="P9" s="91" t="s">
        <v>258</v>
      </c>
      <c r="Q9" s="522">
        <f>INT((Q8+Q10)/2)</f>
        <v>16750</v>
      </c>
      <c r="R9" s="1454"/>
      <c r="S9" s="94" t="s">
        <v>258</v>
      </c>
      <c r="T9" s="156">
        <f>MIN(INT(Q9*(($E$41+$F$41)/2)),ReadMe!$M$99)</f>
        <v>26381</v>
      </c>
    </row>
    <row r="10" spans="2:20" ht="14.25" thickBot="1">
      <c r="B10" s="7" t="s">
        <v>301</v>
      </c>
      <c r="C10" s="43"/>
      <c r="D10" s="511">
        <f>(5+INT(D9/2))/100</f>
        <v>0.1</v>
      </c>
      <c r="E10" s="42" t="s">
        <v>250</v>
      </c>
      <c r="F10" s="8"/>
      <c r="G10" s="8"/>
      <c r="H10" s="8">
        <v>10</v>
      </c>
      <c r="I10" s="8"/>
      <c r="J10" s="8"/>
      <c r="K10" s="9"/>
      <c r="O10" s="1229"/>
      <c r="P10" s="92" t="s">
        <v>329</v>
      </c>
      <c r="Q10" s="523">
        <f>MIN(INT(($T$4*R7)*(1+$B$34+$E$34+$B$52+$K$35)),ReadMe!$M$99)</f>
        <v>18108</v>
      </c>
      <c r="R10" s="1455"/>
      <c r="S10" s="95" t="s">
        <v>329</v>
      </c>
      <c r="T10" s="157">
        <f>MIN(INT(Q10*F41),ReadMe!$M$99)</f>
        <v>32594</v>
      </c>
    </row>
    <row r="11" spans="1:27" ht="14.25" thickBot="1">
      <c r="A11" s="402" t="b">
        <v>0</v>
      </c>
      <c r="B11" s="7" t="s">
        <v>872</v>
      </c>
      <c r="C11" s="43"/>
      <c r="D11" s="44">
        <f>30+3*D9</f>
        <v>60</v>
      </c>
      <c r="E11" s="42" t="s">
        <v>698</v>
      </c>
      <c r="F11" s="8"/>
      <c r="G11" s="8">
        <v>10</v>
      </c>
      <c r="H11" s="8">
        <v>20</v>
      </c>
      <c r="I11" s="8"/>
      <c r="J11" s="8"/>
      <c r="K11" s="9">
        <v>11</v>
      </c>
      <c r="O11" s="1490" t="s">
        <v>1021</v>
      </c>
      <c r="P11" s="1491"/>
      <c r="Q11" s="1492"/>
      <c r="R11" s="1436">
        <f>INT(Q9*(1-$G$41)+T9*$G$41)</f>
        <v>23010</v>
      </c>
      <c r="S11" s="1436"/>
      <c r="T11" s="1437"/>
      <c r="U11" s="402">
        <f>R11/$P$4*$P$5</f>
        <v>23010</v>
      </c>
      <c r="V11" s="1694" t="s">
        <v>1211</v>
      </c>
      <c r="W11" s="1695"/>
      <c r="X11" s="1694" t="s">
        <v>1212</v>
      </c>
      <c r="Y11" s="1695"/>
      <c r="Z11" s="1694" t="s">
        <v>1214</v>
      </c>
      <c r="AA11" s="1695"/>
    </row>
    <row r="12" spans="1:27" ht="14.25" thickBot="1">
      <c r="A12" s="402" t="str">
        <f>IF(A11=TRUE,"TRUE",IF(D12=1,"TRUE","FLASE"))</f>
        <v>FLASE</v>
      </c>
      <c r="B12" s="152" t="s">
        <v>969</v>
      </c>
      <c r="C12" s="761"/>
      <c r="D12" s="592"/>
      <c r="E12" s="42" t="s">
        <v>587</v>
      </c>
      <c r="F12" s="8"/>
      <c r="G12" s="8"/>
      <c r="H12" s="8"/>
      <c r="I12" s="8"/>
      <c r="J12" s="8"/>
      <c r="K12" s="9"/>
      <c r="N12" s="402">
        <f>INT(T7*$W$3)*$Z$7</f>
        <v>3137400</v>
      </c>
      <c r="O12" s="1342" t="s">
        <v>974</v>
      </c>
      <c r="P12" s="1420"/>
      <c r="Q12" s="1421"/>
      <c r="R12" s="1477">
        <f>(U11*T7+N12)*G47</f>
        <v>14642400</v>
      </c>
      <c r="S12" s="1478"/>
      <c r="T12" s="1479"/>
      <c r="V12" s="1475">
        <f>INT($R$12-($U$11*8.5*$Q$70+8.5*$W$3*$Z$7))+P75</f>
        <v>14671595</v>
      </c>
      <c r="W12" s="1709"/>
      <c r="X12" s="1475">
        <f>INT($R$12-($U$11*8.5*$T$70+8.5*$W$3*$Z$7))+S75</f>
        <v>14999729</v>
      </c>
      <c r="Y12" s="1709"/>
      <c r="Z12" s="1475">
        <f>INT($R$12-($U$11*8.5*$T$70+8.5*$W$3*$Z$7)-($U$11*8.5*$Q$70+8.5*$W$3*$Z$7))+P75+S75</f>
        <v>15028924</v>
      </c>
      <c r="AA12" s="1709"/>
    </row>
    <row r="13" spans="2:15" ht="14.25" thickBot="1">
      <c r="B13" s="765"/>
      <c r="C13" s="766">
        <f>IF(A12="true",(D11/240)*D10,0)</f>
        <v>0</v>
      </c>
      <c r="D13" s="767">
        <f>IF(A12="true",D10,0)</f>
        <v>0</v>
      </c>
      <c r="E13" s="42" t="s">
        <v>697</v>
      </c>
      <c r="F13" s="8"/>
      <c r="G13" s="8"/>
      <c r="H13" s="8"/>
      <c r="I13" s="8"/>
      <c r="J13" s="8"/>
      <c r="K13" s="9"/>
      <c r="O13" t="s">
        <v>1040</v>
      </c>
    </row>
    <row r="14" spans="2:20" ht="14.25" thickBot="1">
      <c r="B14" s="22"/>
      <c r="C14" s="21"/>
      <c r="D14" s="138"/>
      <c r="E14" s="42" t="s">
        <v>260</v>
      </c>
      <c r="F14" s="8"/>
      <c r="G14" s="8">
        <v>5</v>
      </c>
      <c r="H14" s="8">
        <v>14</v>
      </c>
      <c r="I14" s="8"/>
      <c r="J14" s="8"/>
      <c r="K14" s="9"/>
      <c r="O14" s="1158" t="s">
        <v>778</v>
      </c>
      <c r="P14" s="1159"/>
      <c r="Q14" s="1159"/>
      <c r="R14" s="1159"/>
      <c r="S14" s="282" t="s">
        <v>252</v>
      </c>
      <c r="T14" s="283">
        <v>1.44</v>
      </c>
    </row>
    <row r="15" spans="2:21" ht="13.5">
      <c r="B15" s="22"/>
      <c r="C15" s="21"/>
      <c r="D15" s="138"/>
      <c r="E15" s="42" t="s">
        <v>261</v>
      </c>
      <c r="F15" s="8">
        <v>15</v>
      </c>
      <c r="G15" s="8"/>
      <c r="H15" s="8"/>
      <c r="I15" s="8"/>
      <c r="J15" s="8"/>
      <c r="K15" s="9"/>
      <c r="O15" s="1227" t="s">
        <v>304</v>
      </c>
      <c r="P15" s="76" t="s">
        <v>257</v>
      </c>
      <c r="Q15" s="521">
        <f>MIN(INT(($R$4*T14)*(1+$B$34+$E$34+$B$52+$K$35)),ReadMe!$M$99)</f>
        <v>10074</v>
      </c>
      <c r="R15" s="1447" t="s">
        <v>1020</v>
      </c>
      <c r="S15" s="87" t="s">
        <v>257</v>
      </c>
      <c r="T15" s="519">
        <f>MIN(INT(Q15*$E$41),ReadMe!$M$99)</f>
        <v>13599</v>
      </c>
      <c r="U15" s="627"/>
    </row>
    <row r="16" spans="2:20" ht="13.5">
      <c r="B16" s="22"/>
      <c r="C16" s="21"/>
      <c r="D16" s="138"/>
      <c r="E16" s="42" t="s">
        <v>262</v>
      </c>
      <c r="F16" s="8">
        <v>4</v>
      </c>
      <c r="G16" s="8">
        <v>8</v>
      </c>
      <c r="H16" s="8"/>
      <c r="I16" s="8"/>
      <c r="J16" s="8"/>
      <c r="K16" s="9"/>
      <c r="O16" s="1228"/>
      <c r="P16" s="43" t="s">
        <v>258</v>
      </c>
      <c r="Q16" s="522">
        <f>INT((Q15+Q17)/2)</f>
        <v>10963</v>
      </c>
      <c r="R16" s="1448"/>
      <c r="S16" s="79" t="s">
        <v>258</v>
      </c>
      <c r="T16" s="156">
        <f>MIN(INT(Q16*(($E$41+$F$41)/2)),ReadMe!$M$99)</f>
        <v>17266</v>
      </c>
    </row>
    <row r="17" spans="2:20" ht="14.25" thickBot="1">
      <c r="B17" s="22"/>
      <c r="C17" s="21"/>
      <c r="D17" s="138"/>
      <c r="E17" s="42" t="s">
        <v>5</v>
      </c>
      <c r="F17" s="8"/>
      <c r="G17" s="8">
        <v>3</v>
      </c>
      <c r="H17" s="8">
        <v>3</v>
      </c>
      <c r="I17" s="8">
        <v>3</v>
      </c>
      <c r="J17" s="8">
        <v>3</v>
      </c>
      <c r="K17" s="9"/>
      <c r="O17" s="1229"/>
      <c r="P17" s="15" t="s">
        <v>259</v>
      </c>
      <c r="Q17" s="523">
        <f>MIN(INT(($T$4*T14)*(1+$B$34+$E$34+$B$52+$K$35)),ReadMe!$M$99)</f>
        <v>11852</v>
      </c>
      <c r="R17" s="80" t="s">
        <v>309</v>
      </c>
      <c r="S17" s="86" t="s">
        <v>259</v>
      </c>
      <c r="T17" s="520">
        <f>MIN(INT(Q17*$F$41),ReadMe!$M$99)</f>
        <v>21333</v>
      </c>
    </row>
    <row r="18" spans="2:20" ht="14.25" thickBot="1">
      <c r="B18" s="22"/>
      <c r="C18" s="21"/>
      <c r="D18" s="138"/>
      <c r="E18" s="42" t="s">
        <v>5</v>
      </c>
      <c r="F18" s="8">
        <v>1</v>
      </c>
      <c r="G18" s="8">
        <v>1</v>
      </c>
      <c r="H18" s="8">
        <v>1</v>
      </c>
      <c r="I18" s="8">
        <v>1</v>
      </c>
      <c r="J18" s="8">
        <v>1</v>
      </c>
      <c r="K18" s="9"/>
      <c r="O18" s="1451" t="s">
        <v>323</v>
      </c>
      <c r="P18" s="1452"/>
      <c r="Q18" s="1452"/>
      <c r="R18" s="1449">
        <f>INT(Q16*(1-$G$41)+T16*$G$41)</f>
        <v>15059</v>
      </c>
      <c r="S18" s="1449"/>
      <c r="T18" s="1450"/>
    </row>
    <row r="19" spans="2:20" ht="14.25" thickBot="1">
      <c r="B19" s="47"/>
      <c r="C19" s="491"/>
      <c r="D19" s="220"/>
      <c r="E19" s="42" t="s">
        <v>5</v>
      </c>
      <c r="F19" s="8">
        <v>1</v>
      </c>
      <c r="G19" s="8">
        <v>1</v>
      </c>
      <c r="H19" s="8">
        <v>1</v>
      </c>
      <c r="I19" s="8">
        <v>1</v>
      </c>
      <c r="J19" s="8">
        <v>1</v>
      </c>
      <c r="K19" s="9"/>
      <c r="O19" s="1201" t="s">
        <v>251</v>
      </c>
      <c r="P19" s="1202"/>
      <c r="Q19" s="494" t="s">
        <v>257</v>
      </c>
      <c r="R19" s="1480">
        <f>Q15*5</f>
        <v>50370</v>
      </c>
      <c r="S19" s="1481"/>
      <c r="T19" s="1482"/>
    </row>
    <row r="20" spans="2:21" ht="13.5">
      <c r="B20" s="1438" t="s">
        <v>1037</v>
      </c>
      <c r="C20" s="1439"/>
      <c r="D20" s="1135">
        <v>10</v>
      </c>
      <c r="E20" s="42" t="s">
        <v>5</v>
      </c>
      <c r="F20" s="8"/>
      <c r="G20" s="8"/>
      <c r="H20" s="8"/>
      <c r="I20" s="8"/>
      <c r="J20" s="8"/>
      <c r="K20" s="9"/>
      <c r="O20" s="1456"/>
      <c r="P20" s="1457"/>
      <c r="Q20" s="495" t="s">
        <v>335</v>
      </c>
      <c r="R20" s="1441">
        <f>R18*5</f>
        <v>75295</v>
      </c>
      <c r="S20" s="1442"/>
      <c r="T20" s="1443"/>
      <c r="U20" s="402">
        <f>R20/$P$4*$P$5</f>
        <v>75295</v>
      </c>
    </row>
    <row r="21" spans="2:20" ht="14.25" thickBot="1">
      <c r="B21" s="1827" t="s">
        <v>1038</v>
      </c>
      <c r="C21" s="1828"/>
      <c r="D21" s="1440"/>
      <c r="E21" s="42" t="s">
        <v>1305</v>
      </c>
      <c r="F21" s="8"/>
      <c r="G21" s="8">
        <v>2</v>
      </c>
      <c r="H21" s="8">
        <v>2</v>
      </c>
      <c r="I21" s="8">
        <v>2</v>
      </c>
      <c r="J21" s="8">
        <v>2</v>
      </c>
      <c r="K21" s="9"/>
      <c r="O21" s="1458"/>
      <c r="P21" s="1459"/>
      <c r="Q21" s="524" t="s">
        <v>259</v>
      </c>
      <c r="R21" s="1444">
        <f>T17*5</f>
        <v>106665</v>
      </c>
      <c r="S21" s="1445"/>
      <c r="T21" s="1446"/>
    </row>
    <row r="22" spans="2:23" ht="14.25" thickBot="1">
      <c r="B22" s="1505" t="s">
        <v>1042</v>
      </c>
      <c r="C22" s="1506"/>
      <c r="D22" s="28">
        <f>(D20*2)/100</f>
        <v>0.2</v>
      </c>
      <c r="E22" s="7" t="s">
        <v>1022</v>
      </c>
      <c r="F22" s="8"/>
      <c r="G22" s="8">
        <v>3</v>
      </c>
      <c r="H22" s="8">
        <v>3</v>
      </c>
      <c r="I22" s="8">
        <v>3</v>
      </c>
      <c r="J22" s="8">
        <v>3</v>
      </c>
      <c r="K22" s="9"/>
      <c r="O22" s="1460" t="s">
        <v>244</v>
      </c>
      <c r="P22" s="1461"/>
      <c r="Q22" s="148">
        <f>IF(D5-K39&lt;4,4,D5-K39)</f>
        <v>6</v>
      </c>
      <c r="R22" s="1483" t="s">
        <v>267</v>
      </c>
      <c r="S22" s="1484"/>
      <c r="T22" s="72">
        <f>IF(Q22=4,93,IF(Q22=5,87,IF(Q22=6,83,)))</f>
        <v>83</v>
      </c>
      <c r="W22" s="786"/>
    </row>
    <row r="23" spans="2:20" ht="14.25" thickBot="1">
      <c r="B23" s="1458" t="s">
        <v>324</v>
      </c>
      <c r="C23" s="1500"/>
      <c r="D23" s="69">
        <v>0</v>
      </c>
      <c r="E23" s="7" t="s">
        <v>181</v>
      </c>
      <c r="F23" s="8"/>
      <c r="G23" s="8"/>
      <c r="H23" s="8"/>
      <c r="I23" s="8"/>
      <c r="J23" s="8"/>
      <c r="K23" s="9"/>
      <c r="N23" s="402">
        <f>INT(T22*$W$3)*$Z$7</f>
        <v>517671</v>
      </c>
      <c r="O23" s="1342" t="s">
        <v>974</v>
      </c>
      <c r="P23" s="1420"/>
      <c r="Q23" s="1421"/>
      <c r="R23" s="1487">
        <f>(U20*T22+N23)*G47</f>
        <v>6767156</v>
      </c>
      <c r="S23" s="1488"/>
      <c r="T23" s="1488"/>
    </row>
    <row r="24" spans="2:11" ht="14.25" thickBot="1">
      <c r="B24" s="10" t="s">
        <v>1023</v>
      </c>
      <c r="C24" s="552"/>
      <c r="D24" s="20">
        <v>30</v>
      </c>
      <c r="E24" s="7" t="s">
        <v>1399</v>
      </c>
      <c r="F24" s="8"/>
      <c r="G24" s="8"/>
      <c r="H24" s="8"/>
      <c r="I24" s="8"/>
      <c r="J24" s="8"/>
      <c r="K24" s="9"/>
    </row>
    <row r="25" spans="2:26" ht="14.25" thickBot="1">
      <c r="B25" s="1501" t="s">
        <v>325</v>
      </c>
      <c r="C25" s="1502"/>
      <c r="D25" s="62">
        <f>D24</f>
        <v>30</v>
      </c>
      <c r="E25" s="7" t="s">
        <v>1153</v>
      </c>
      <c r="F25" s="8">
        <v>20</v>
      </c>
      <c r="G25" s="8"/>
      <c r="H25" s="8"/>
      <c r="I25" s="8"/>
      <c r="J25" s="8"/>
      <c r="K25" s="9"/>
      <c r="N25" s="1158" t="s">
        <v>777</v>
      </c>
      <c r="O25" s="1159"/>
      <c r="P25" s="1159"/>
      <c r="Q25" s="1160"/>
      <c r="R25" s="282" t="s">
        <v>252</v>
      </c>
      <c r="S25" s="283">
        <f>(550+10*D7)/100</f>
        <v>5.6</v>
      </c>
      <c r="T25" s="219" t="s">
        <v>9</v>
      </c>
      <c r="Y25"/>
      <c r="Z25"/>
    </row>
    <row r="26" spans="1:26" ht="14.25" thickBot="1">
      <c r="A26" s="402">
        <f>(1+D26)/2</f>
        <v>0.925</v>
      </c>
      <c r="B26" s="1503" t="s">
        <v>310</v>
      </c>
      <c r="C26" s="1504"/>
      <c r="D26" s="81">
        <f>IF(D24=0,Q78,(Q78-0.5)+(55+ROUNDUP($D$24/2,0))/100)</f>
        <v>0.85</v>
      </c>
      <c r="E26" s="7" t="s">
        <v>714</v>
      </c>
      <c r="F26" s="8"/>
      <c r="G26" s="8"/>
      <c r="H26" s="8"/>
      <c r="I26" s="8"/>
      <c r="J26" s="8"/>
      <c r="K26" s="9"/>
      <c r="N26" s="1227" t="s">
        <v>304</v>
      </c>
      <c r="O26" s="76" t="s">
        <v>257</v>
      </c>
      <c r="P26" s="521">
        <f>MIN(INT(($R$4*S25*1.4)*(1+$B$34+$E$34+$B$52+$K$35)),ReadMe!$M$99)</f>
        <v>54852</v>
      </c>
      <c r="Q26" s="1447" t="s">
        <v>1020</v>
      </c>
      <c r="R26" s="87" t="s">
        <v>257</v>
      </c>
      <c r="S26" s="519">
        <f>MIN(INT(P26*$E$41),ReadMe!$M$99)</f>
        <v>74050</v>
      </c>
      <c r="T26" s="1096" t="s">
        <v>335</v>
      </c>
      <c r="Y26"/>
      <c r="Z26"/>
    </row>
    <row r="27" spans="2:26" ht="13.5">
      <c r="B27" s="1428" t="s">
        <v>1024</v>
      </c>
      <c r="C27" s="1429"/>
      <c r="D27" s="2">
        <v>9</v>
      </c>
      <c r="E27" s="216" t="s">
        <v>1025</v>
      </c>
      <c r="F27" s="8"/>
      <c r="G27" s="40">
        <f>ROUNDDOWN(G3*D28%,0)</f>
        <v>3</v>
      </c>
      <c r="H27" s="40">
        <f>ROUNDDOWN(H3*D28%,0)</f>
        <v>35</v>
      </c>
      <c r="I27" s="40">
        <f>ROUNDDOWN(I3*D28%,0)</f>
        <v>0</v>
      </c>
      <c r="J27" s="40">
        <f>ROUNDDOWN(J3*D28%,0)</f>
        <v>0</v>
      </c>
      <c r="K27" s="9">
        <v>23</v>
      </c>
      <c r="N27" s="1228"/>
      <c r="O27" s="43" t="s">
        <v>258</v>
      </c>
      <c r="P27" s="522">
        <f>INT((P26+P28)/2)</f>
        <v>59692</v>
      </c>
      <c r="Q27" s="1448"/>
      <c r="R27" s="79" t="s">
        <v>258</v>
      </c>
      <c r="S27" s="734">
        <f>MIN(INT(P27*(($E$41+$F$41)/2)),ReadMe!$M$99)</f>
        <v>94014</v>
      </c>
      <c r="T27" s="1094">
        <f>INT(P27*(1-$G$41)+S27*$G$41)</f>
        <v>82001</v>
      </c>
      <c r="Y27"/>
      <c r="Z27"/>
    </row>
    <row r="28" spans="2:20" ht="14.25" thickBot="1">
      <c r="B28" s="14" t="s">
        <v>263</v>
      </c>
      <c r="C28" s="538"/>
      <c r="D28" s="46">
        <f>ROUNDUP(D27/2,0)</f>
        <v>5</v>
      </c>
      <c r="E28" s="7" t="s">
        <v>264</v>
      </c>
      <c r="F28" s="43">
        <f>D25+D29</f>
        <v>30</v>
      </c>
      <c r="G28" s="43">
        <f>SUM(G4:G26)</f>
        <v>50</v>
      </c>
      <c r="H28" s="43">
        <f>SUM(H4:H26)</f>
        <v>90</v>
      </c>
      <c r="I28" s="43">
        <f>SUM(I4:I26)</f>
        <v>27</v>
      </c>
      <c r="J28" s="43">
        <f>SUM(J4:J26)</f>
        <v>27</v>
      </c>
      <c r="K28" s="44">
        <f>SUM(K3:K27)+D29</f>
        <v>51</v>
      </c>
      <c r="N28" s="1229"/>
      <c r="O28" s="15" t="s">
        <v>259</v>
      </c>
      <c r="P28" s="523">
        <f>MIN(INT(($T$4*S25*1.4)*(1+$B$34+$E$34+$B$52+$K$35)),ReadMe!$M$99)</f>
        <v>64532</v>
      </c>
      <c r="Q28" s="80" t="s">
        <v>309</v>
      </c>
      <c r="R28" s="86" t="s">
        <v>259</v>
      </c>
      <c r="S28" s="1093">
        <f>MIN(INT(P28*$F$41),ReadMe!$M$99)</f>
        <v>116157</v>
      </c>
      <c r="T28" s="1095">
        <f>$Z$7*35*$W$3</f>
        <v>219618</v>
      </c>
    </row>
    <row r="29" spans="2:26" ht="14.25" thickBot="1">
      <c r="B29" s="17" t="s">
        <v>1378</v>
      </c>
      <c r="C29" s="195"/>
      <c r="D29" s="313">
        <v>0</v>
      </c>
      <c r="E29" s="14" t="s">
        <v>256</v>
      </c>
      <c r="F29" s="48">
        <f>D23+SUM(F4:F28)</f>
        <v>204</v>
      </c>
      <c r="G29" s="546">
        <f>INT((G3+G27+G28)*(1+G32))</f>
        <v>120</v>
      </c>
      <c r="H29" s="546">
        <f>INT((H3+H27+H28)*(1+H32))</f>
        <v>904</v>
      </c>
      <c r="I29" s="546">
        <f>INT((I3+I27+I28)*(1+I32))</f>
        <v>31</v>
      </c>
      <c r="J29" s="546">
        <f>INT((J3+J27+J28)*(1+J32))</f>
        <v>31</v>
      </c>
      <c r="K29" s="547">
        <f>($G$29*0.4+$J$29*0.8+$H$29*1.6+K28)*(1+K32)</f>
        <v>1570.2</v>
      </c>
      <c r="N29" s="17" t="s">
        <v>334</v>
      </c>
      <c r="O29" s="313">
        <v>1</v>
      </c>
      <c r="P29" s="1097" t="s">
        <v>268</v>
      </c>
      <c r="Q29" s="491"/>
      <c r="R29" s="1487">
        <f>(T27*O29*45+T28)*$G$47</f>
        <v>3909663</v>
      </c>
      <c r="S29" s="1488"/>
      <c r="T29" s="1528"/>
      <c r="U29" s="57"/>
      <c r="Y29"/>
      <c r="Z29"/>
    </row>
    <row r="30" spans="2:11" ht="14.25" thickBot="1">
      <c r="B30" s="1305" t="s">
        <v>981</v>
      </c>
      <c r="C30" s="1306"/>
      <c r="D30" s="1306"/>
      <c r="E30" s="1306"/>
      <c r="F30" s="1306"/>
      <c r="G30" s="1306"/>
      <c r="H30" s="1306"/>
      <c r="I30" s="1306"/>
      <c r="J30" s="1306"/>
      <c r="K30" s="1307"/>
    </row>
    <row r="31" spans="2:20" ht="14.25" thickBot="1">
      <c r="B31" s="1218" t="s">
        <v>762</v>
      </c>
      <c r="C31" s="1219"/>
      <c r="D31" s="1220"/>
      <c r="E31" s="1308" t="s">
        <v>982</v>
      </c>
      <c r="F31" s="1309"/>
      <c r="G31" s="1" t="s">
        <v>352</v>
      </c>
      <c r="H31" s="3" t="s">
        <v>353</v>
      </c>
      <c r="I31" s="3" t="s">
        <v>354</v>
      </c>
      <c r="J31" s="3" t="s">
        <v>355</v>
      </c>
      <c r="K31" s="4" t="s">
        <v>987</v>
      </c>
      <c r="N31" s="1158" t="s">
        <v>824</v>
      </c>
      <c r="O31" s="1159"/>
      <c r="P31" s="1159"/>
      <c r="Q31" s="1160"/>
      <c r="R31" s="282" t="s">
        <v>252</v>
      </c>
      <c r="S31" s="283">
        <f>(480+4*30)/100</f>
        <v>6</v>
      </c>
      <c r="T31" s="668" t="s">
        <v>869</v>
      </c>
    </row>
    <row r="32" spans="2:20" ht="14.25" thickBot="1">
      <c r="B32" s="1210">
        <v>0</v>
      </c>
      <c r="C32" s="1211"/>
      <c r="D32" s="1212"/>
      <c r="E32" s="1130">
        <v>0</v>
      </c>
      <c r="F32" s="1131"/>
      <c r="G32" s="542">
        <v>0</v>
      </c>
      <c r="H32" s="543">
        <v>0.09</v>
      </c>
      <c r="I32" s="543">
        <v>0</v>
      </c>
      <c r="J32" s="543">
        <v>0</v>
      </c>
      <c r="K32" s="544">
        <v>0</v>
      </c>
      <c r="N32" s="1227" t="s">
        <v>304</v>
      </c>
      <c r="O32" s="76" t="s">
        <v>257</v>
      </c>
      <c r="P32" s="521">
        <f>MIN(INT(($R$4*S31*1.4)*(1+$B$34+$E$34+$B$52+$K$35)),ReadMe!$M$99)</f>
        <v>58770</v>
      </c>
      <c r="Q32" s="1447" t="s">
        <v>1020</v>
      </c>
      <c r="R32" s="87" t="s">
        <v>257</v>
      </c>
      <c r="S32" s="1092">
        <f>MIN(INT(P32*$E$41),ReadMe!$M$99)</f>
        <v>79339</v>
      </c>
      <c r="T32" s="1096" t="s">
        <v>335</v>
      </c>
    </row>
    <row r="33" spans="2:20" ht="14.25" thickBot="1">
      <c r="B33" s="1221" t="s">
        <v>135</v>
      </c>
      <c r="C33" s="1166"/>
      <c r="D33" s="1177"/>
      <c r="E33" s="1261" t="s">
        <v>877</v>
      </c>
      <c r="F33" s="1262"/>
      <c r="N33" s="1228"/>
      <c r="O33" s="43" t="s">
        <v>258</v>
      </c>
      <c r="P33" s="522">
        <f>INT((P32+P34)/2)</f>
        <v>63955</v>
      </c>
      <c r="Q33" s="1448"/>
      <c r="R33" s="79" t="s">
        <v>258</v>
      </c>
      <c r="S33" s="734">
        <f>MIN(INT(P33*(($E$41+$F$41)/2)),ReadMe!$M$99)</f>
        <v>100729</v>
      </c>
      <c r="T33" s="1094">
        <f>INT(P33*(1-$G$41)+S33*$G$41)</f>
        <v>87858</v>
      </c>
    </row>
    <row r="34" spans="2:27" ht="14.25" thickBot="1">
      <c r="B34" s="1210">
        <v>0</v>
      </c>
      <c r="C34" s="1222"/>
      <c r="D34" s="1212"/>
      <c r="E34" s="1130">
        <v>0</v>
      </c>
      <c r="F34" s="1131"/>
      <c r="I34" s="1297" t="s">
        <v>1417</v>
      </c>
      <c r="J34" s="1298"/>
      <c r="K34" s="1299"/>
      <c r="L34" s="323"/>
      <c r="N34" s="1187"/>
      <c r="O34" s="68" t="s">
        <v>259</v>
      </c>
      <c r="P34" s="523">
        <f>MIN(INT(($T$4*S31*1.4)*(1+$B$34+$E$34+$B$52+$K$35)),ReadMe!$M$99)</f>
        <v>69141</v>
      </c>
      <c r="Q34" s="80" t="s">
        <v>309</v>
      </c>
      <c r="R34" s="86" t="s">
        <v>259</v>
      </c>
      <c r="S34" s="1093">
        <f>MIN(INT(P34*$F$41),ReadMe!$M$99)</f>
        <v>124453</v>
      </c>
      <c r="T34" s="1095">
        <f>$Z$7*45*$W$3</f>
        <v>282366</v>
      </c>
      <c r="U34" s="21"/>
      <c r="V34" s="929"/>
      <c r="W34" s="288"/>
      <c r="X34" s="288"/>
      <c r="Y34" s="288"/>
      <c r="Z34" s="288"/>
      <c r="AA34" s="21"/>
    </row>
    <row r="35" spans="9:27" ht="13.5" customHeight="1" thickBot="1">
      <c r="I35" s="14" t="s">
        <v>1410</v>
      </c>
      <c r="J35" s="15"/>
      <c r="K35" s="534">
        <v>0</v>
      </c>
      <c r="N35" s="17" t="s">
        <v>334</v>
      </c>
      <c r="O35" s="313">
        <v>1</v>
      </c>
      <c r="P35" s="1097" t="s">
        <v>268</v>
      </c>
      <c r="Q35" s="491"/>
      <c r="R35" s="1487">
        <f>(T33*O35*45+T34)*$G$47</f>
        <v>4235976</v>
      </c>
      <c r="S35" s="1488"/>
      <c r="T35" s="1528"/>
      <c r="AA35" s="21"/>
    </row>
    <row r="36" spans="2:27" ht="14.25" thickBot="1">
      <c r="B36" s="1280" t="s">
        <v>1020</v>
      </c>
      <c r="C36" s="1281"/>
      <c r="D36" s="1281"/>
      <c r="E36" s="503" t="s">
        <v>257</v>
      </c>
      <c r="F36" s="19" t="s">
        <v>259</v>
      </c>
      <c r="G36" s="504" t="s">
        <v>1085</v>
      </c>
      <c r="U36" s="21"/>
      <c r="V36" s="288"/>
      <c r="W36" s="288"/>
      <c r="X36" s="288"/>
      <c r="Y36" s="288"/>
      <c r="Z36" s="288"/>
      <c r="AA36" s="21"/>
    </row>
    <row r="37" spans="2:20" ht="14.25" thickBot="1">
      <c r="B37" s="1213" t="s">
        <v>90</v>
      </c>
      <c r="C37" s="1214"/>
      <c r="D37" s="1215"/>
      <c r="E37" s="35">
        <f>(120+ROUNDUP(D24/2,0))/100</f>
        <v>1.35</v>
      </c>
      <c r="F37" s="507">
        <v>1.5</v>
      </c>
      <c r="G37" s="241">
        <v>0.45</v>
      </c>
      <c r="I37" s="1256" t="s">
        <v>438</v>
      </c>
      <c r="J37" s="1300"/>
      <c r="K37" s="1301"/>
      <c r="N37" s="1158" t="s">
        <v>10</v>
      </c>
      <c r="O37" s="1159"/>
      <c r="P37" s="1159"/>
      <c r="Q37" s="1160"/>
      <c r="R37" s="282" t="s">
        <v>252</v>
      </c>
      <c r="S37" s="283">
        <f>(150+2*20)/100</f>
        <v>1.9</v>
      </c>
      <c r="T37" s="668" t="s">
        <v>869</v>
      </c>
    </row>
    <row r="38" spans="2:26" ht="14.25" thickBot="1">
      <c r="B38" s="1228" t="s">
        <v>1027</v>
      </c>
      <c r="C38" s="1284"/>
      <c r="D38" s="516">
        <v>30</v>
      </c>
      <c r="E38" s="506"/>
      <c r="F38" s="505">
        <f>D38/100</f>
        <v>0.3</v>
      </c>
      <c r="G38" s="511">
        <f>IF(D38=0,0,(5+ROUNDUP(D38/2,0))/100)</f>
        <v>0.2</v>
      </c>
      <c r="I38" s="1256" t="s">
        <v>440</v>
      </c>
      <c r="J38" s="1257"/>
      <c r="K38" s="1258"/>
      <c r="N38" s="1227" t="s">
        <v>304</v>
      </c>
      <c r="O38" s="76" t="s">
        <v>257</v>
      </c>
      <c r="P38" s="521">
        <f>MIN(INT(($R$4*S37*1.4)*(1+$B$34+$E$34+$B$52+$K$35)),ReadMe!$M$99)</f>
        <v>18610</v>
      </c>
      <c r="Q38" s="1447" t="s">
        <v>1020</v>
      </c>
      <c r="R38" s="87" t="s">
        <v>257</v>
      </c>
      <c r="S38" s="1092">
        <f>MIN(INT(P38*$E$41),ReadMe!$M$99)</f>
        <v>25123</v>
      </c>
      <c r="T38" s="1098" t="s">
        <v>726</v>
      </c>
      <c r="U38" s="777"/>
      <c r="Z38"/>
    </row>
    <row r="39" spans="1:26" ht="14.25" thickBot="1">
      <c r="A39" s="402" t="b">
        <v>0</v>
      </c>
      <c r="B39" s="1228" t="s">
        <v>1030</v>
      </c>
      <c r="C39" s="1284"/>
      <c r="D39" s="512"/>
      <c r="E39" s="506"/>
      <c r="F39" s="505">
        <f>IF(H39="true",0.15,0)</f>
        <v>0</v>
      </c>
      <c r="G39" s="511">
        <f>IF(H39="true",0.1,0)</f>
        <v>0</v>
      </c>
      <c r="H39" s="402" t="str">
        <f>IF(A39=TRUE,"TRUE",IF(D39=1,"TRUE","FLASE"))</f>
        <v>FLASE</v>
      </c>
      <c r="I39" s="771" t="s">
        <v>437</v>
      </c>
      <c r="J39" s="205"/>
      <c r="K39" s="228">
        <v>0</v>
      </c>
      <c r="N39" s="1228"/>
      <c r="O39" s="43" t="s">
        <v>258</v>
      </c>
      <c r="P39" s="522">
        <f>INT((P38+P40)/2)</f>
        <v>20252</v>
      </c>
      <c r="Q39" s="1448"/>
      <c r="R39" s="79" t="s">
        <v>258</v>
      </c>
      <c r="S39" s="734">
        <f>MIN(INT(P39*(($E$41+$F$41)/2)),ReadMe!$M$99)</f>
        <v>31896</v>
      </c>
      <c r="T39" s="1094">
        <f>INT(P39*(1-$G$41)+S39*$G$41)*4</f>
        <v>111280</v>
      </c>
      <c r="U39" s="777"/>
      <c r="Z39"/>
    </row>
    <row r="40" spans="2:26" ht="14.25" thickBot="1">
      <c r="B40" s="1285" t="s">
        <v>89</v>
      </c>
      <c r="C40" s="1286"/>
      <c r="D40" s="1287"/>
      <c r="E40" s="513">
        <v>0</v>
      </c>
      <c r="F40" s="514">
        <v>0</v>
      </c>
      <c r="G40" s="515">
        <v>0</v>
      </c>
      <c r="N40" s="1187"/>
      <c r="O40" s="68" t="s">
        <v>259</v>
      </c>
      <c r="P40" s="523">
        <f>MIN(INT(($T$4*S37*1.4)*(1+$B$34+$E$34+$B$52+$K$35)),ReadMe!$M$99)</f>
        <v>21894</v>
      </c>
      <c r="Q40" s="80" t="s">
        <v>309</v>
      </c>
      <c r="R40" s="86" t="s">
        <v>259</v>
      </c>
      <c r="S40" s="1093">
        <f>MIN(INT(P40*$F$41),ReadMe!$M$99)</f>
        <v>39409</v>
      </c>
      <c r="T40" s="1095">
        <f>$Z$7*45*$W$3</f>
        <v>282366</v>
      </c>
      <c r="U40" s="777"/>
      <c r="Z40"/>
    </row>
    <row r="41" spans="2:26" ht="14.25" thickBot="1">
      <c r="B41" s="1290" t="s">
        <v>91</v>
      </c>
      <c r="C41" s="1291"/>
      <c r="D41" s="1292"/>
      <c r="E41" s="508">
        <f>E37+E39+E40</f>
        <v>1.35</v>
      </c>
      <c r="F41" s="509">
        <f>F37+MAX(F38,F39)+F40</f>
        <v>1.8</v>
      </c>
      <c r="G41" s="510">
        <f>G37+MAX(G38,G39)+G40</f>
        <v>0.65</v>
      </c>
      <c r="I41" s="1259" t="s">
        <v>128</v>
      </c>
      <c r="J41" s="1260"/>
      <c r="K41" s="791"/>
      <c r="L41" s="402" t="b">
        <v>0</v>
      </c>
      <c r="M41" s="486" t="str">
        <f>IF(L41=TRUE,"TRUE",IF(K41=1,"TRUE","FLASE"))</f>
        <v>FLASE</v>
      </c>
      <c r="N41" s="17" t="s">
        <v>334</v>
      </c>
      <c r="O41" s="313">
        <v>1</v>
      </c>
      <c r="P41" s="1097" t="s">
        <v>268</v>
      </c>
      <c r="Q41" s="491"/>
      <c r="R41" s="1487">
        <f>(T39*O41*45+T40)*$G$47</f>
        <v>5289966</v>
      </c>
      <c r="S41" s="1488"/>
      <c r="T41" s="1528"/>
      <c r="U41" s="777"/>
      <c r="Z41"/>
    </row>
    <row r="42" spans="2:26" ht="14.25" thickBot="1">
      <c r="B42" s="1216" t="s">
        <v>331</v>
      </c>
      <c r="C42" s="1199"/>
      <c r="D42" s="1200"/>
      <c r="E42" s="1253">
        <f>(($E$41+$F$41)/2-1)*$G$41+1</f>
        <v>1.3737500000000002</v>
      </c>
      <c r="F42" s="1254"/>
      <c r="G42" s="1255"/>
      <c r="I42" s="590" t="s">
        <v>1119</v>
      </c>
      <c r="J42" s="788"/>
      <c r="K42" s="789">
        <v>0</v>
      </c>
      <c r="Z42"/>
    </row>
    <row r="43" spans="9:26" ht="14.25" thickBot="1">
      <c r="I43" s="1251" t="s">
        <v>854</v>
      </c>
      <c r="J43" s="1252"/>
      <c r="K43" s="790">
        <f>IF(M41="true",IF(K42&gt;0,10+ROUNDUP(K42/3,0),10)/100,0)</f>
        <v>0</v>
      </c>
      <c r="L43" s="323"/>
      <c r="M43" s="323"/>
      <c r="N43" s="1158" t="s">
        <v>779</v>
      </c>
      <c r="O43" s="1159"/>
      <c r="P43" s="1159"/>
      <c r="Q43" s="1159"/>
      <c r="R43" s="1159"/>
      <c r="S43" s="163" t="s">
        <v>252</v>
      </c>
      <c r="T43" s="264">
        <v>3.1</v>
      </c>
      <c r="Z43"/>
    </row>
    <row r="44" spans="14:26" ht="14.25" thickBot="1">
      <c r="N44" s="668" t="s">
        <v>334</v>
      </c>
      <c r="O44" s="922">
        <v>1</v>
      </c>
      <c r="P44" s="32">
        <v>2</v>
      </c>
      <c r="Q44" s="32">
        <v>3</v>
      </c>
      <c r="R44" s="32">
        <v>4</v>
      </c>
      <c r="S44" s="32">
        <v>5</v>
      </c>
      <c r="T44" s="33">
        <v>6</v>
      </c>
      <c r="U44" s="777"/>
      <c r="Z44"/>
    </row>
    <row r="45" spans="2:26" ht="14.25" thickBot="1">
      <c r="B45" s="1282" t="s">
        <v>735</v>
      </c>
      <c r="C45" s="1283"/>
      <c r="D45" s="533">
        <v>125</v>
      </c>
      <c r="E45" s="1249" t="s">
        <v>736</v>
      </c>
      <c r="F45" s="1250"/>
      <c r="G45" s="25">
        <f>IF(D2&gt;D45,0,$D$45-$D$2)</f>
        <v>0</v>
      </c>
      <c r="I45" s="1137" t="s">
        <v>1029</v>
      </c>
      <c r="J45" s="1138"/>
      <c r="K45" s="1139"/>
      <c r="N45" s="924" t="s">
        <v>252</v>
      </c>
      <c r="O45" s="923">
        <f>T43</f>
        <v>3.1</v>
      </c>
      <c r="P45" s="158">
        <f>O45*1.2</f>
        <v>3.7199999999999998</v>
      </c>
      <c r="Q45" s="158">
        <f>P45*1.2</f>
        <v>4.4639999999999995</v>
      </c>
      <c r="R45" s="158">
        <f>Q45*1.2</f>
        <v>5.356799999999999</v>
      </c>
      <c r="S45" s="158">
        <f>R45*1.2</f>
        <v>6.428159999999998</v>
      </c>
      <c r="T45" s="159">
        <f>S45*1.2</f>
        <v>7.713791999999998</v>
      </c>
      <c r="U45" s="777"/>
      <c r="V45"/>
      <c r="W45"/>
      <c r="X45"/>
      <c r="Y45"/>
      <c r="Z45"/>
    </row>
    <row r="46" spans="2:26" ht="13.5">
      <c r="B46" s="1242" t="s">
        <v>769</v>
      </c>
      <c r="C46" s="1243"/>
      <c r="D46" s="9">
        <v>12</v>
      </c>
      <c r="E46" s="1242" t="s">
        <v>771</v>
      </c>
      <c r="F46" s="1243"/>
      <c r="G46" s="615">
        <f>IF(G45&gt;0,"-",D46)</f>
        <v>12</v>
      </c>
      <c r="I46" s="416" t="s">
        <v>1026</v>
      </c>
      <c r="J46" s="539"/>
      <c r="K46" s="204">
        <v>0</v>
      </c>
      <c r="N46" s="925" t="s">
        <v>1043</v>
      </c>
      <c r="O46" s="637">
        <f aca="true" t="shared" si="0" ref="O46:T46">INT($R$4*O45*(1+$B$34+$E$34+$B$52+$K$35))</f>
        <v>21689</v>
      </c>
      <c r="P46" s="637">
        <f t="shared" si="0"/>
        <v>26026</v>
      </c>
      <c r="Q46" s="637">
        <f t="shared" si="0"/>
        <v>31232</v>
      </c>
      <c r="R46" s="637">
        <f t="shared" si="0"/>
        <v>37478</v>
      </c>
      <c r="S46" s="637">
        <f t="shared" si="0"/>
        <v>44974</v>
      </c>
      <c r="T46" s="638">
        <f t="shared" si="0"/>
        <v>53969</v>
      </c>
      <c r="U46" s="777"/>
      <c r="Z46"/>
    </row>
    <row r="47" spans="2:26" ht="14.25" thickBot="1">
      <c r="B47" s="1293" t="s">
        <v>734</v>
      </c>
      <c r="C47" s="1294"/>
      <c r="D47" s="9">
        <v>0</v>
      </c>
      <c r="E47" s="1242" t="s">
        <v>770</v>
      </c>
      <c r="F47" s="1243"/>
      <c r="G47" s="511">
        <f>MAX((MIN(100+SQRT($K$29)-SQRT($D$46),100)-2*G45)/100,0)</f>
        <v>1</v>
      </c>
      <c r="I47" s="417" t="s">
        <v>161</v>
      </c>
      <c r="J47" s="540"/>
      <c r="K47" s="418">
        <f>IF(K46&gt;0,(K46+10)/100,0)</f>
        <v>0</v>
      </c>
      <c r="N47" s="926" t="s">
        <v>976</v>
      </c>
      <c r="O47" s="639">
        <f aca="true" t="shared" si="1" ref="O47:T47">INT(O46*$E$41)</f>
        <v>29280</v>
      </c>
      <c r="P47" s="639">
        <f t="shared" si="1"/>
        <v>35135</v>
      </c>
      <c r="Q47" s="639">
        <f t="shared" si="1"/>
        <v>42163</v>
      </c>
      <c r="R47" s="639">
        <f t="shared" si="1"/>
        <v>50595</v>
      </c>
      <c r="S47" s="639">
        <f t="shared" si="1"/>
        <v>60714</v>
      </c>
      <c r="T47" s="640">
        <f t="shared" si="1"/>
        <v>72858</v>
      </c>
      <c r="U47" s="777"/>
      <c r="Z47"/>
    </row>
    <row r="48" spans="2:26" ht="14.25" thickBot="1">
      <c r="B48" s="1278" t="s">
        <v>979</v>
      </c>
      <c r="C48" s="1279"/>
      <c r="D48" s="534">
        <v>0.25</v>
      </c>
      <c r="E48" s="1197" t="s">
        <v>980</v>
      </c>
      <c r="F48" s="1198"/>
      <c r="G48" s="28">
        <f>1-(D48-ROUNDUP(D48*(K47+B32+D22),2))</f>
        <v>0.8</v>
      </c>
      <c r="N48" s="927" t="s">
        <v>1045</v>
      </c>
      <c r="O48" s="637">
        <f aca="true" t="shared" si="2" ref="O48:T48">INT($T$4*O45*(1+$B$34+$E$34+$B$52+$K$35))</f>
        <v>25516</v>
      </c>
      <c r="P48" s="637">
        <f t="shared" si="2"/>
        <v>30619</v>
      </c>
      <c r="Q48" s="637">
        <f t="shared" si="2"/>
        <v>36743</v>
      </c>
      <c r="R48" s="637">
        <f t="shared" si="2"/>
        <v>44092</v>
      </c>
      <c r="S48" s="637">
        <f t="shared" si="2"/>
        <v>52911</v>
      </c>
      <c r="T48" s="638">
        <f t="shared" si="2"/>
        <v>63493</v>
      </c>
      <c r="U48" s="777"/>
      <c r="Z48"/>
    </row>
    <row r="49" spans="4:20" ht="14.25" thickBot="1">
      <c r="D49" s="402">
        <f>$D$47*(1-($K$47+$B$32+$D$22))</f>
        <v>0</v>
      </c>
      <c r="I49" s="1246" t="s">
        <v>361</v>
      </c>
      <c r="J49" s="1247"/>
      <c r="K49" s="1248"/>
      <c r="N49" s="926" t="s">
        <v>863</v>
      </c>
      <c r="O49" s="1029">
        <f aca="true" t="shared" si="3" ref="O49:T49">INT(O48*$F$41)</f>
        <v>45928</v>
      </c>
      <c r="P49" s="1029">
        <f t="shared" si="3"/>
        <v>55114</v>
      </c>
      <c r="Q49" s="1029">
        <f t="shared" si="3"/>
        <v>66137</v>
      </c>
      <c r="R49" s="1029">
        <f t="shared" si="3"/>
        <v>79365</v>
      </c>
      <c r="S49" s="1029">
        <f t="shared" si="3"/>
        <v>95239</v>
      </c>
      <c r="T49" s="1030">
        <f t="shared" si="3"/>
        <v>114287</v>
      </c>
    </row>
    <row r="50" spans="2:20" ht="13.5">
      <c r="B50" s="1153" t="s">
        <v>1084</v>
      </c>
      <c r="C50" s="1133"/>
      <c r="D50" s="1129"/>
      <c r="I50" s="1127" t="s">
        <v>988</v>
      </c>
      <c r="J50" s="1217"/>
      <c r="K50" s="468"/>
      <c r="L50" s="486" t="b">
        <v>0</v>
      </c>
      <c r="M50" s="486" t="str">
        <f>IF(L50=TRUE,"TRUE",IF(K50=1,"TRUE","FLASE"))</f>
        <v>FLASE</v>
      </c>
      <c r="N50" s="975" t="s">
        <v>1044</v>
      </c>
      <c r="O50" s="636">
        <f aca="true" t="shared" si="4" ref="O50:T50">INT((O46+O48)/2)</f>
        <v>23602</v>
      </c>
      <c r="P50" s="1031">
        <f t="shared" si="4"/>
        <v>28322</v>
      </c>
      <c r="Q50" s="1031">
        <f t="shared" si="4"/>
        <v>33987</v>
      </c>
      <c r="R50" s="1031">
        <f t="shared" si="4"/>
        <v>40785</v>
      </c>
      <c r="S50" s="1031">
        <f t="shared" si="4"/>
        <v>48942</v>
      </c>
      <c r="T50" s="1032">
        <f t="shared" si="4"/>
        <v>58731</v>
      </c>
    </row>
    <row r="51" spans="2:20" ht="14.25" thickBot="1">
      <c r="B51" s="1187" t="s">
        <v>877</v>
      </c>
      <c r="C51" s="1188"/>
      <c r="D51" s="1189"/>
      <c r="I51" s="1244" t="s">
        <v>989</v>
      </c>
      <c r="J51" s="1245"/>
      <c r="K51" s="469"/>
      <c r="L51" s="486" t="b">
        <v>0</v>
      </c>
      <c r="M51" s="486" t="str">
        <f>IF(L51=TRUE,"TRUE",IF(K51=1,"TRUE","FLASE"))</f>
        <v>FLASE</v>
      </c>
      <c r="N51" s="1028" t="s">
        <v>977</v>
      </c>
      <c r="O51" s="641">
        <f>MIN(INT(O50*(($E$41+$F$41)/2)),ReadMe!$M$99)</f>
        <v>37173</v>
      </c>
      <c r="P51" s="642">
        <f>MIN(INT(P50*(($E$41+$F$41)/2)),ReadMe!$M$99)</f>
        <v>44607</v>
      </c>
      <c r="Q51" s="642">
        <f>MIN(INT(Q50*(($E$41+$F$41)/2)),ReadMe!$M$99)</f>
        <v>53529</v>
      </c>
      <c r="R51" s="642">
        <f>MIN(INT(R50*(($E$41+$F$41)/2)),ReadMe!$M$99)</f>
        <v>64236</v>
      </c>
      <c r="S51" s="642">
        <f>MIN(INT(S50*(($E$41+$F$41)/2)),ReadMe!$M$99)</f>
        <v>77083</v>
      </c>
      <c r="T51" s="156">
        <f>MIN(INT(T50*(($E$41+$F$41)/2)),ReadMe!$M$99)</f>
        <v>92501</v>
      </c>
    </row>
    <row r="52" spans="2:20" ht="14.25" thickBot="1">
      <c r="B52" s="1194">
        <v>0</v>
      </c>
      <c r="C52" s="1195"/>
      <c r="D52" s="1196"/>
      <c r="I52" s="1240" t="s">
        <v>854</v>
      </c>
      <c r="J52" s="1241"/>
      <c r="K52" s="206">
        <f>IF(M50="TRUE",1.04,IF(M51="TRUE",1.02,1))</f>
        <v>1</v>
      </c>
      <c r="N52" s="1040" t="s">
        <v>335</v>
      </c>
      <c r="O52" s="643">
        <f aca="true" t="shared" si="5" ref="O52:T52">INT(O50*(1-$G$41)+O51*$G$41)</f>
        <v>32423</v>
      </c>
      <c r="P52" s="1033">
        <f t="shared" si="5"/>
        <v>38907</v>
      </c>
      <c r="Q52" s="1033">
        <f t="shared" si="5"/>
        <v>46689</v>
      </c>
      <c r="R52" s="1033">
        <f t="shared" si="5"/>
        <v>56028</v>
      </c>
      <c r="S52" s="1033">
        <f t="shared" si="5"/>
        <v>67233</v>
      </c>
      <c r="T52" s="1034">
        <f t="shared" si="5"/>
        <v>80681</v>
      </c>
    </row>
    <row r="53" spans="14:26" ht="14.25" thickBot="1">
      <c r="N53" s="928" t="s">
        <v>726</v>
      </c>
      <c r="O53" s="1041">
        <f>O52</f>
        <v>32423</v>
      </c>
      <c r="P53" s="1042">
        <f>O53+P52</f>
        <v>71330</v>
      </c>
      <c r="Q53" s="1042">
        <f>P53+Q52</f>
        <v>118019</v>
      </c>
      <c r="R53" s="1042">
        <f>Q53+R52</f>
        <v>174047</v>
      </c>
      <c r="S53" s="1042">
        <f>R53+S52</f>
        <v>241280</v>
      </c>
      <c r="T53" s="1043">
        <f>S53+T52</f>
        <v>321961</v>
      </c>
      <c r="U53" s="648">
        <f aca="true" t="shared" si="6" ref="U53:Z53">O53/$P$4*$P$5</f>
        <v>32423</v>
      </c>
      <c r="V53" s="648">
        <f t="shared" si="6"/>
        <v>71330</v>
      </c>
      <c r="W53" s="648">
        <f t="shared" si="6"/>
        <v>118019</v>
      </c>
      <c r="X53" s="648">
        <f t="shared" si="6"/>
        <v>174047</v>
      </c>
      <c r="Y53" s="648">
        <f t="shared" si="6"/>
        <v>241280</v>
      </c>
      <c r="Z53" s="648">
        <f t="shared" si="6"/>
        <v>321961</v>
      </c>
    </row>
    <row r="54" spans="2:20" ht="14.25" thickBot="1">
      <c r="B54" s="1201" t="s">
        <v>265</v>
      </c>
      <c r="C54" s="1202"/>
      <c r="D54" s="1202"/>
      <c r="E54" s="1202"/>
      <c r="F54" s="1202"/>
      <c r="G54" s="1202"/>
      <c r="H54" s="1202"/>
      <c r="I54" s="1202"/>
      <c r="J54" s="1202"/>
      <c r="K54" s="1202"/>
      <c r="L54" s="1203"/>
      <c r="N54" s="47" t="s">
        <v>868</v>
      </c>
      <c r="O54" s="930">
        <f aca="true" t="shared" si="7" ref="O54:T54">(U53*83+$N$55)*$G$47</f>
        <v>3211917.4</v>
      </c>
      <c r="P54" s="931">
        <f t="shared" si="7"/>
        <v>6441198.4</v>
      </c>
      <c r="Q54" s="931">
        <f t="shared" si="7"/>
        <v>10316385.4</v>
      </c>
      <c r="R54" s="931">
        <f t="shared" si="7"/>
        <v>14966709.4</v>
      </c>
      <c r="S54" s="931">
        <f t="shared" si="7"/>
        <v>20547048.4</v>
      </c>
      <c r="T54" s="932">
        <f t="shared" si="7"/>
        <v>27243571.4</v>
      </c>
    </row>
    <row r="55" spans="2:14" ht="14.25" thickBot="1">
      <c r="B55" s="1268" t="s">
        <v>1209</v>
      </c>
      <c r="C55" s="1269"/>
      <c r="D55" s="1270"/>
      <c r="E55" s="1270"/>
      <c r="F55" s="1270"/>
      <c r="G55" s="1270"/>
      <c r="H55" s="1270"/>
      <c r="I55" s="1270"/>
      <c r="J55" s="1270"/>
      <c r="K55" s="1270"/>
      <c r="L55" s="1272"/>
      <c r="N55" s="402">
        <f>Z7*83*W3</f>
        <v>520808.4</v>
      </c>
    </row>
    <row r="56" spans="2:20" ht="14.25" thickBot="1">
      <c r="B56" s="1273" t="s">
        <v>1210</v>
      </c>
      <c r="C56" s="1274"/>
      <c r="D56" s="1275"/>
      <c r="E56" s="1275"/>
      <c r="F56" s="1275"/>
      <c r="G56" s="1275"/>
      <c r="H56" s="1275"/>
      <c r="I56" s="1275"/>
      <c r="J56" s="1275"/>
      <c r="K56" s="1275"/>
      <c r="L56" s="1277"/>
      <c r="O56" s="1158" t="s">
        <v>968</v>
      </c>
      <c r="P56" s="1159"/>
      <c r="Q56" s="1159"/>
      <c r="R56" s="1159"/>
      <c r="S56" s="282" t="s">
        <v>874</v>
      </c>
      <c r="T56" s="83">
        <f>60-2*INT(P57/2)</f>
        <v>60</v>
      </c>
    </row>
    <row r="57" spans="2:20" ht="14.25" thickBot="1">
      <c r="B57" s="1273" t="s">
        <v>644</v>
      </c>
      <c r="C57" s="1274"/>
      <c r="D57" s="1275"/>
      <c r="E57" s="1275"/>
      <c r="F57" s="1275"/>
      <c r="G57" s="1275"/>
      <c r="H57" s="1275"/>
      <c r="I57" s="1275"/>
      <c r="J57" s="1275"/>
      <c r="K57" s="1275"/>
      <c r="L57" s="1277"/>
      <c r="O57" s="244" t="s">
        <v>447</v>
      </c>
      <c r="P57" s="202">
        <f>D8</f>
        <v>1</v>
      </c>
      <c r="Q57" s="221" t="s">
        <v>252</v>
      </c>
      <c r="R57" s="760">
        <f>(P57*2+40)/100</f>
        <v>0.42</v>
      </c>
      <c r="S57" s="51" t="s">
        <v>782</v>
      </c>
      <c r="T57" s="74">
        <f>(P57*15+400)/100</f>
        <v>4.15</v>
      </c>
    </row>
    <row r="58" spans="2:20" ht="13.5">
      <c r="B58" s="1273" t="s">
        <v>864</v>
      </c>
      <c r="C58" s="1274"/>
      <c r="D58" s="1275"/>
      <c r="E58" s="1275"/>
      <c r="F58" s="1275"/>
      <c r="G58" s="1275"/>
      <c r="H58" s="1275"/>
      <c r="I58" s="1275"/>
      <c r="J58" s="1275"/>
      <c r="K58" s="1275"/>
      <c r="L58" s="1277"/>
      <c r="O58" s="1227" t="s">
        <v>781</v>
      </c>
      <c r="P58" s="76" t="s">
        <v>257</v>
      </c>
      <c r="Q58" s="521">
        <f>MIN(INT(($R$4*R57)*(1+$B$34+$E$34+$B$52+$K$35)),ReadMe!$M$99)</f>
        <v>2938</v>
      </c>
      <c r="R58" s="1447" t="s">
        <v>1020</v>
      </c>
      <c r="S58" s="78" t="s">
        <v>257</v>
      </c>
      <c r="T58" s="629">
        <f>MIN(INT(Q58*$E$41),ReadMe!$M$99)</f>
        <v>3966</v>
      </c>
    </row>
    <row r="59" spans="2:20" ht="13.5">
      <c r="B59" s="1273" t="s">
        <v>865</v>
      </c>
      <c r="C59" s="1274"/>
      <c r="D59" s="1275"/>
      <c r="E59" s="1275"/>
      <c r="F59" s="1275"/>
      <c r="G59" s="1275"/>
      <c r="H59" s="1275"/>
      <c r="I59" s="1275"/>
      <c r="J59" s="1275"/>
      <c r="K59" s="1275"/>
      <c r="L59" s="1277"/>
      <c r="O59" s="1228"/>
      <c r="P59" s="43" t="s">
        <v>258</v>
      </c>
      <c r="Q59" s="522">
        <f>INT((Q58+Q60)/2)</f>
        <v>3197</v>
      </c>
      <c r="R59" s="1448"/>
      <c r="S59" s="79" t="s">
        <v>258</v>
      </c>
      <c r="T59" s="156">
        <f>MIN(INT(Q59*(($E$41+$F$41)/2)),ReadMe!$M$99)</f>
        <v>5035</v>
      </c>
    </row>
    <row r="60" spans="2:20" ht="14.25" thickBot="1">
      <c r="B60" s="1273" t="s">
        <v>866</v>
      </c>
      <c r="C60" s="1274"/>
      <c r="D60" s="1275"/>
      <c r="E60" s="1275"/>
      <c r="F60" s="1275"/>
      <c r="G60" s="1275"/>
      <c r="H60" s="1275"/>
      <c r="I60" s="1275"/>
      <c r="J60" s="1275"/>
      <c r="K60" s="1275"/>
      <c r="L60" s="1277"/>
      <c r="O60" s="1229"/>
      <c r="P60" s="15" t="s">
        <v>259</v>
      </c>
      <c r="Q60" s="523">
        <f>MIN(INT(($T$4*R57)*(1+$B$34+$E$34+$B$52+$K$35)),ReadMe!$M$99)</f>
        <v>3457</v>
      </c>
      <c r="R60" s="80" t="s">
        <v>309</v>
      </c>
      <c r="S60" s="86" t="s">
        <v>259</v>
      </c>
      <c r="T60" s="520">
        <f>MIN(INT(Q60*$F$41),ReadMe!$M$99)</f>
        <v>6222</v>
      </c>
    </row>
    <row r="61" spans="2:20" ht="13.5">
      <c r="B61" s="1273" t="s">
        <v>606</v>
      </c>
      <c r="C61" s="1274"/>
      <c r="D61" s="1275"/>
      <c r="E61" s="1275"/>
      <c r="F61" s="1275"/>
      <c r="G61" s="1275"/>
      <c r="H61" s="1275"/>
      <c r="I61" s="1275"/>
      <c r="J61" s="1275"/>
      <c r="K61" s="1275"/>
      <c r="L61" s="1277"/>
      <c r="O61" s="1227" t="s">
        <v>782</v>
      </c>
      <c r="P61" s="76" t="s">
        <v>257</v>
      </c>
      <c r="Q61" s="521">
        <f>MIN(INT(($R$4*T57)*(1+$B$34+$E$34+$B$52+$K$35)),ReadMe!$M$99)</f>
        <v>29035</v>
      </c>
      <c r="R61" s="1447" t="s">
        <v>1020</v>
      </c>
      <c r="S61" s="87" t="s">
        <v>257</v>
      </c>
      <c r="T61" s="519">
        <f>MIN(INT(Q61*$E$41),ReadMe!$M$99)</f>
        <v>39197</v>
      </c>
    </row>
    <row r="62" spans="2:20" ht="13.5">
      <c r="B62" s="1422" t="s">
        <v>586</v>
      </c>
      <c r="C62" s="1423"/>
      <c r="D62" s="1423"/>
      <c r="E62" s="1423"/>
      <c r="F62" s="1423"/>
      <c r="G62" s="1423"/>
      <c r="H62" s="1423"/>
      <c r="I62" s="1423"/>
      <c r="J62" s="1423"/>
      <c r="K62" s="1423"/>
      <c r="L62" s="1424"/>
      <c r="M62" s="162"/>
      <c r="O62" s="1228"/>
      <c r="P62" s="43" t="s">
        <v>258</v>
      </c>
      <c r="Q62" s="522">
        <f>INT((Q61+Q63)/2)</f>
        <v>31597</v>
      </c>
      <c r="R62" s="1448"/>
      <c r="S62" s="79" t="s">
        <v>258</v>
      </c>
      <c r="T62" s="156">
        <f>MIN(INT(Q62*(($E$41+$F$41)/2)),ReadMe!$M$99)</f>
        <v>49765</v>
      </c>
    </row>
    <row r="63" spans="2:20" ht="14.25" thickBot="1">
      <c r="B63" s="1263" t="s">
        <v>1142</v>
      </c>
      <c r="C63" s="1264"/>
      <c r="D63" s="1265"/>
      <c r="E63" s="1265"/>
      <c r="F63" s="1265"/>
      <c r="G63" s="1265"/>
      <c r="H63" s="1265"/>
      <c r="I63" s="1265"/>
      <c r="J63" s="1265"/>
      <c r="K63" s="1265"/>
      <c r="L63" s="1267"/>
      <c r="O63" s="1229"/>
      <c r="P63" s="15" t="s">
        <v>259</v>
      </c>
      <c r="Q63" s="523">
        <f>MIN(INT(($T$4*T57)*(1+$B$34+$E$34+$B$52+$K$35)),ReadMe!$M$99)</f>
        <v>34159</v>
      </c>
      <c r="R63" s="1790"/>
      <c r="S63" s="86" t="s">
        <v>259</v>
      </c>
      <c r="T63" s="520">
        <f>MIN(INT(Q63*$F$41),ReadMe!$M$99)</f>
        <v>61486</v>
      </c>
    </row>
    <row r="64" spans="15:21" ht="13.5">
      <c r="O64" s="1201" t="s">
        <v>251</v>
      </c>
      <c r="P64" s="1202"/>
      <c r="Q64" s="494" t="s">
        <v>257</v>
      </c>
      <c r="R64" s="1480">
        <f>Q58*10+Q61</f>
        <v>58415</v>
      </c>
      <c r="S64" s="1481"/>
      <c r="T64" s="1482"/>
      <c r="U64" s="96"/>
    </row>
    <row r="65" spans="15:21" ht="13.5">
      <c r="O65" s="1456"/>
      <c r="P65" s="1457"/>
      <c r="Q65" s="495" t="s">
        <v>335</v>
      </c>
      <c r="R65" s="1512">
        <f>INT(Q59*(1-$G$41)+T59*$G$41)*10+INT(Q62*(1-$G$41)+T62*$G$41)</f>
        <v>87316</v>
      </c>
      <c r="S65" s="1513"/>
      <c r="T65" s="1514"/>
      <c r="U65" s="57"/>
    </row>
    <row r="66" spans="15:21" ht="14.25" thickBot="1">
      <c r="O66" s="1458"/>
      <c r="P66" s="1459"/>
      <c r="Q66" s="524" t="s">
        <v>259</v>
      </c>
      <c r="R66" s="1444">
        <f>T60*10+T63</f>
        <v>123706</v>
      </c>
      <c r="S66" s="1445"/>
      <c r="T66" s="1446"/>
      <c r="U66" s="777"/>
    </row>
    <row r="67" ht="14.25" thickBot="1">
      <c r="U67" s="777"/>
    </row>
    <row r="68" spans="15:21" ht="14.25" thickBot="1">
      <c r="O68" s="1158" t="s">
        <v>1207</v>
      </c>
      <c r="P68" s="1160"/>
      <c r="R68" s="1158" t="s">
        <v>1208</v>
      </c>
      <c r="S68" s="1160"/>
      <c r="U68" s="777"/>
    </row>
    <row r="69" spans="15:21" ht="13.5">
      <c r="O69" s="230" t="s">
        <v>252</v>
      </c>
      <c r="P69" s="842">
        <v>2</v>
      </c>
      <c r="R69" s="230" t="s">
        <v>252</v>
      </c>
      <c r="S69" s="842">
        <v>2.5</v>
      </c>
      <c r="U69" s="777"/>
    </row>
    <row r="70" spans="15:21" ht="14.25" thickBot="1">
      <c r="O70" s="843" t="s">
        <v>872</v>
      </c>
      <c r="P70" s="844">
        <v>50</v>
      </c>
      <c r="Q70" s="402">
        <f>60/P70</f>
        <v>1.2</v>
      </c>
      <c r="R70" s="843" t="s">
        <v>872</v>
      </c>
      <c r="S70" s="844">
        <v>180</v>
      </c>
      <c r="T70" s="402">
        <f>60/S70</f>
        <v>0.3333333333333333</v>
      </c>
      <c r="U70" s="777"/>
    </row>
    <row r="71" spans="15:21" ht="13.5">
      <c r="O71" s="804" t="s">
        <v>257</v>
      </c>
      <c r="P71" s="845">
        <f>MIN(INT(($N$4*P69)*(1+$B$34+$E$34+$B$52+$K$35)),ReadMe!$M$99)</f>
        <v>17491</v>
      </c>
      <c r="R71" s="804" t="s">
        <v>257</v>
      </c>
      <c r="S71" s="845">
        <f>MIN(INT(($N$4*S69)*(1+$B$34+$E$34+$B$52+$K$35)),ReadMe!$M$99)</f>
        <v>21864</v>
      </c>
      <c r="U71" s="777"/>
    </row>
    <row r="72" spans="15:21" ht="13.5">
      <c r="O72" s="7" t="s">
        <v>258</v>
      </c>
      <c r="P72" s="528">
        <f>INT((P71+P73)/2)</f>
        <v>19034</v>
      </c>
      <c r="R72" s="7" t="s">
        <v>258</v>
      </c>
      <c r="S72" s="528">
        <f>INT((S71+S73)/2)</f>
        <v>23793</v>
      </c>
      <c r="U72" s="777"/>
    </row>
    <row r="73" spans="15:26" ht="14.25" thickBot="1">
      <c r="O73" s="14" t="s">
        <v>259</v>
      </c>
      <c r="P73" s="529">
        <f>MIN(INT(($P$4*P69)*(1+$B$34+$E$34+$B$52+$K$35)),ReadMe!$M$99)</f>
        <v>20577</v>
      </c>
      <c r="R73" s="14" t="s">
        <v>259</v>
      </c>
      <c r="S73" s="529">
        <f>MIN(INT(($P$4*S69)*(1+$B$34+$E$34+$B$52+$K$35)),ReadMe!$M$99)</f>
        <v>25722</v>
      </c>
      <c r="U73" s="777"/>
      <c r="Z73"/>
    </row>
    <row r="74" spans="15:26" ht="13.5">
      <c r="O74" s="1754" t="s">
        <v>1103</v>
      </c>
      <c r="P74" s="1755"/>
      <c r="R74" s="1754" t="s">
        <v>1213</v>
      </c>
      <c r="S74" s="1755"/>
      <c r="U74" s="777"/>
      <c r="Z74"/>
    </row>
    <row r="75" spans="15:26" ht="14.25" thickBot="1">
      <c r="O75" s="226" t="s">
        <v>1104</v>
      </c>
      <c r="P75" s="315">
        <f>INT(P72*(P70/3))</f>
        <v>317233</v>
      </c>
      <c r="R75" s="226" t="s">
        <v>1104</v>
      </c>
      <c r="S75" s="315">
        <f>INT(S72*(60/3))</f>
        <v>475860</v>
      </c>
      <c r="Y75"/>
      <c r="Z75"/>
    </row>
    <row r="76" spans="25:26" ht="14.25" thickBot="1">
      <c r="Y76"/>
      <c r="Z76"/>
    </row>
    <row r="77" spans="15:26" ht="14.25" thickBot="1">
      <c r="O77" s="1467" t="s">
        <v>1031</v>
      </c>
      <c r="P77" s="1386"/>
      <c r="Q77" s="1386"/>
      <c r="R77" s="1386"/>
      <c r="S77" s="1386"/>
      <c r="T77" s="1468"/>
      <c r="Y77"/>
      <c r="Z77"/>
    </row>
    <row r="78" spans="15:26" ht="14.25" thickBot="1">
      <c r="O78" s="1201" t="s">
        <v>310</v>
      </c>
      <c r="P78" s="1180"/>
      <c r="Q78" s="463">
        <v>0.65</v>
      </c>
      <c r="R78" s="1305" t="s">
        <v>1032</v>
      </c>
      <c r="S78" s="1306"/>
      <c r="T78" s="313">
        <v>20</v>
      </c>
      <c r="Y78"/>
      <c r="Z78"/>
    </row>
    <row r="79" spans="15:26" ht="14.25" thickBot="1">
      <c r="O79" s="1342" t="s">
        <v>1406</v>
      </c>
      <c r="P79" s="1343"/>
      <c r="Q79" s="463">
        <v>1</v>
      </c>
      <c r="R79" s="1465" t="s">
        <v>1334</v>
      </c>
      <c r="S79" s="1466"/>
      <c r="T79" s="356">
        <v>1</v>
      </c>
      <c r="Y79"/>
      <c r="Z79"/>
    </row>
    <row r="80" spans="15:26" ht="13.5">
      <c r="O80" s="1227" t="s">
        <v>304</v>
      </c>
      <c r="P80" s="76" t="s">
        <v>257</v>
      </c>
      <c r="Q80" s="521">
        <f>INT(($R$4*Q79*1.4)*(1+$B$34+$E$34+$B$52+$K$35))</f>
        <v>9795</v>
      </c>
      <c r="R80" s="1447" t="s">
        <v>1020</v>
      </c>
      <c r="S80" s="78" t="s">
        <v>257</v>
      </c>
      <c r="T80" s="519">
        <f>INT(Q80*$E$41)</f>
        <v>13223</v>
      </c>
      <c r="Y80"/>
      <c r="Z80"/>
    </row>
    <row r="81" spans="15:26" ht="13.5">
      <c r="O81" s="1228"/>
      <c r="P81" s="43" t="s">
        <v>258</v>
      </c>
      <c r="Q81" s="522">
        <f>INT((Q80+Q82)/2)</f>
        <v>10659</v>
      </c>
      <c r="R81" s="1448"/>
      <c r="S81" s="79" t="s">
        <v>258</v>
      </c>
      <c r="T81" s="156">
        <f>MIN(INT(Q81*(($E$41+$F$41)/2)),ReadMe!$M$99)</f>
        <v>16787</v>
      </c>
      <c r="Y81"/>
      <c r="Z81"/>
    </row>
    <row r="82" spans="15:26" ht="14.25" thickBot="1">
      <c r="O82" s="1229"/>
      <c r="P82" s="15" t="s">
        <v>259</v>
      </c>
      <c r="Q82" s="523">
        <f>INT(($T$4*Q79*1.4)*(1+$B$34+$E$34+$B$52+$K$35))</f>
        <v>11523</v>
      </c>
      <c r="R82" s="80" t="s">
        <v>309</v>
      </c>
      <c r="S82" s="86" t="s">
        <v>259</v>
      </c>
      <c r="T82" s="520">
        <f>INT(Q82*$F$41)</f>
        <v>20741</v>
      </c>
      <c r="Y82"/>
      <c r="Z82"/>
    </row>
    <row r="83" spans="15:26" ht="14.25" thickBot="1">
      <c r="O83" s="1302" t="s">
        <v>323</v>
      </c>
      <c r="P83" s="1303"/>
      <c r="Q83" s="1304"/>
      <c r="R83" s="1462">
        <f>INT(Q81*(1-$G$41)+T81*$G$41)</f>
        <v>14642</v>
      </c>
      <c r="S83" s="1463"/>
      <c r="T83" s="1464"/>
      <c r="Y83"/>
      <c r="Z83"/>
    </row>
    <row r="84" spans="15:20" ht="14.25" thickBot="1">
      <c r="O84" s="1302" t="s">
        <v>726</v>
      </c>
      <c r="P84" s="1303"/>
      <c r="Q84" s="1304"/>
      <c r="R84" s="1489">
        <f>R83*T79</f>
        <v>14642</v>
      </c>
      <c r="S84" s="1463"/>
      <c r="T84" s="1464"/>
    </row>
  </sheetData>
  <sheetProtection/>
  <protectedRanges>
    <protectedRange sqref="D45:D46 D48" name="範囲1"/>
  </protectedRanges>
  <mergeCells count="127">
    <mergeCell ref="F1:P1"/>
    <mergeCell ref="N2:P2"/>
    <mergeCell ref="R2:T2"/>
    <mergeCell ref="R21:T21"/>
    <mergeCell ref="R15:R16"/>
    <mergeCell ref="R18:T18"/>
    <mergeCell ref="O15:O17"/>
    <mergeCell ref="O18:Q18"/>
    <mergeCell ref="R8:R10"/>
    <mergeCell ref="O19:P21"/>
    <mergeCell ref="R79:S79"/>
    <mergeCell ref="O80:O82"/>
    <mergeCell ref="R78:S78"/>
    <mergeCell ref="B4:D4"/>
    <mergeCell ref="E48:F48"/>
    <mergeCell ref="B50:D50"/>
    <mergeCell ref="B51:D51"/>
    <mergeCell ref="B52:D52"/>
    <mergeCell ref="O22:P22"/>
    <mergeCell ref="O58:O60"/>
    <mergeCell ref="O84:Q84"/>
    <mergeCell ref="B45:C45"/>
    <mergeCell ref="E45:F45"/>
    <mergeCell ref="B46:C46"/>
    <mergeCell ref="E46:F46"/>
    <mergeCell ref="B47:C47"/>
    <mergeCell ref="E47:F47"/>
    <mergeCell ref="B48:C48"/>
    <mergeCell ref="B62:L62"/>
    <mergeCell ref="I51:J51"/>
    <mergeCell ref="R80:R81"/>
    <mergeCell ref="R84:T84"/>
    <mergeCell ref="R61:R63"/>
    <mergeCell ref="O77:T77"/>
    <mergeCell ref="O64:P66"/>
    <mergeCell ref="R64:T64"/>
    <mergeCell ref="R65:T65"/>
    <mergeCell ref="R66:T66"/>
    <mergeCell ref="R83:T83"/>
    <mergeCell ref="O83:Q83"/>
    <mergeCell ref="O79:P79"/>
    <mergeCell ref="B54:L54"/>
    <mergeCell ref="B55:L55"/>
    <mergeCell ref="O78:P78"/>
    <mergeCell ref="B57:L57"/>
    <mergeCell ref="B63:L63"/>
    <mergeCell ref="O74:P74"/>
    <mergeCell ref="B61:L61"/>
    <mergeCell ref="O61:O63"/>
    <mergeCell ref="B58:L58"/>
    <mergeCell ref="I45:K45"/>
    <mergeCell ref="B38:C38"/>
    <mergeCell ref="B39:C39"/>
    <mergeCell ref="B40:D40"/>
    <mergeCell ref="B42:D42"/>
    <mergeCell ref="R22:S22"/>
    <mergeCell ref="V2:Y2"/>
    <mergeCell ref="V7:W7"/>
    <mergeCell ref="X7:Y7"/>
    <mergeCell ref="O6:T6"/>
    <mergeCell ref="O11:Q11"/>
    <mergeCell ref="R11:T11"/>
    <mergeCell ref="V11:W11"/>
    <mergeCell ref="D20:D21"/>
    <mergeCell ref="R20:T20"/>
    <mergeCell ref="R19:T19"/>
    <mergeCell ref="B2:C2"/>
    <mergeCell ref="B20:C20"/>
    <mergeCell ref="B21:C21"/>
    <mergeCell ref="R12:T12"/>
    <mergeCell ref="O8:O10"/>
    <mergeCell ref="B23:C23"/>
    <mergeCell ref="B25:C25"/>
    <mergeCell ref="B26:C26"/>
    <mergeCell ref="B22:C22"/>
    <mergeCell ref="Z12:AA12"/>
    <mergeCell ref="O68:P68"/>
    <mergeCell ref="X11:Y11"/>
    <mergeCell ref="X12:Y12"/>
    <mergeCell ref="Z11:AA11"/>
    <mergeCell ref="V12:W12"/>
    <mergeCell ref="Q26:Q27"/>
    <mergeCell ref="N31:Q31"/>
    <mergeCell ref="N38:N40"/>
    <mergeCell ref="Q38:Q39"/>
    <mergeCell ref="Q32:Q33"/>
    <mergeCell ref="R35:T35"/>
    <mergeCell ref="O12:Q12"/>
    <mergeCell ref="R29:T29"/>
    <mergeCell ref="R23:T23"/>
    <mergeCell ref="O14:R14"/>
    <mergeCell ref="N25:Q25"/>
    <mergeCell ref="N26:N28"/>
    <mergeCell ref="N32:N34"/>
    <mergeCell ref="O23:Q23"/>
    <mergeCell ref="N43:R43"/>
    <mergeCell ref="N37:Q37"/>
    <mergeCell ref="R68:S68"/>
    <mergeCell ref="R74:S74"/>
    <mergeCell ref="R58:R59"/>
    <mergeCell ref="O56:R56"/>
    <mergeCell ref="R41:T41"/>
    <mergeCell ref="B59:L59"/>
    <mergeCell ref="B60:L60"/>
    <mergeCell ref="I41:J41"/>
    <mergeCell ref="B41:D41"/>
    <mergeCell ref="I43:J43"/>
    <mergeCell ref="I50:J50"/>
    <mergeCell ref="I52:J52"/>
    <mergeCell ref="B56:L56"/>
    <mergeCell ref="I49:K49"/>
    <mergeCell ref="E42:G42"/>
    <mergeCell ref="B27:C27"/>
    <mergeCell ref="B30:K30"/>
    <mergeCell ref="B31:D31"/>
    <mergeCell ref="E31:F31"/>
    <mergeCell ref="B32:D32"/>
    <mergeCell ref="E32:F32"/>
    <mergeCell ref="B33:D33"/>
    <mergeCell ref="E33:F33"/>
    <mergeCell ref="E34:F34"/>
    <mergeCell ref="I37:K37"/>
    <mergeCell ref="I38:K38"/>
    <mergeCell ref="B36:D36"/>
    <mergeCell ref="B37:D37"/>
    <mergeCell ref="I34:K34"/>
    <mergeCell ref="B34:D34"/>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18.xml><?xml version="1.0" encoding="utf-8"?>
<worksheet xmlns="http://schemas.openxmlformats.org/spreadsheetml/2006/main" xmlns:r="http://schemas.openxmlformats.org/officeDocument/2006/relationships">
  <dimension ref="A1:V68"/>
  <sheetViews>
    <sheetView workbookViewId="0" topLeftCell="D7">
      <selection activeCell="Q11" sqref="Q11"/>
    </sheetView>
  </sheetViews>
  <sheetFormatPr defaultColWidth="9.00390625" defaultRowHeight="13.5"/>
  <cols>
    <col min="1" max="1" width="2.625" style="0" customWidth="1"/>
    <col min="2" max="11" width="5.625" style="0" customWidth="1"/>
    <col min="12" max="13" width="2.625" style="0" customWidth="1"/>
  </cols>
  <sheetData>
    <row r="1" spans="6:16" ht="24.75" thickBot="1">
      <c r="F1" s="1223" t="s">
        <v>575</v>
      </c>
      <c r="G1" s="1223"/>
      <c r="H1" s="1223"/>
      <c r="I1" s="1223"/>
      <c r="J1" s="1223"/>
      <c r="K1" s="1223"/>
      <c r="L1" s="1223"/>
      <c r="M1" s="1223"/>
      <c r="N1" s="1223"/>
      <c r="O1" s="1223"/>
      <c r="P1" s="1223"/>
    </row>
    <row r="2" spans="2:20" ht="14.25" thickBot="1">
      <c r="B2" s="1153" t="s">
        <v>238</v>
      </c>
      <c r="C2" s="1154"/>
      <c r="D2" s="137">
        <v>150</v>
      </c>
      <c r="E2" s="37"/>
      <c r="F2" s="3" t="s">
        <v>325</v>
      </c>
      <c r="G2" s="3" t="s">
        <v>562</v>
      </c>
      <c r="H2" s="3" t="s">
        <v>563</v>
      </c>
      <c r="I2" s="3" t="s">
        <v>564</v>
      </c>
      <c r="J2" s="3" t="s">
        <v>565</v>
      </c>
      <c r="K2" s="25" t="s">
        <v>749</v>
      </c>
      <c r="N2" s="1224" t="s">
        <v>301</v>
      </c>
      <c r="O2" s="1225"/>
      <c r="P2" s="1226"/>
      <c r="R2" s="1224" t="s">
        <v>737</v>
      </c>
      <c r="S2" s="1225"/>
      <c r="T2" s="1226"/>
    </row>
    <row r="3" spans="2:20" ht="14.25" thickBot="1">
      <c r="B3" s="14" t="s">
        <v>241</v>
      </c>
      <c r="C3" s="538"/>
      <c r="D3" s="16">
        <f>((D2-1)*5+IF(D2&gt;=120,35,IF(D2&gt;=70,30,25)))-(G3+H3+J3+I3)</f>
        <v>0</v>
      </c>
      <c r="E3" s="305" t="s">
        <v>242</v>
      </c>
      <c r="F3" s="635"/>
      <c r="G3" s="635">
        <v>48</v>
      </c>
      <c r="H3" s="635">
        <v>724</v>
      </c>
      <c r="I3" s="635">
        <v>4</v>
      </c>
      <c r="J3" s="635">
        <v>4</v>
      </c>
      <c r="K3" s="306"/>
      <c r="N3" s="10" t="s">
        <v>270</v>
      </c>
      <c r="O3" s="11" t="s">
        <v>271</v>
      </c>
      <c r="P3" s="12" t="s">
        <v>272</v>
      </c>
      <c r="R3" s="70" t="s">
        <v>270</v>
      </c>
      <c r="S3" s="71" t="s">
        <v>271</v>
      </c>
      <c r="T3" s="72" t="s">
        <v>272</v>
      </c>
    </row>
    <row r="4" spans="2:20" ht="14.25" thickBot="1">
      <c r="B4" s="1201" t="s">
        <v>862</v>
      </c>
      <c r="C4" s="1202"/>
      <c r="D4" s="1203"/>
      <c r="E4" s="940" t="s">
        <v>32</v>
      </c>
      <c r="F4" s="634">
        <v>5</v>
      </c>
      <c r="G4" s="634"/>
      <c r="H4" s="634"/>
      <c r="I4" s="634"/>
      <c r="J4" s="634"/>
      <c r="K4" s="204"/>
      <c r="N4" s="14">
        <f>P4*D30</f>
        <v>10235.66175</v>
      </c>
      <c r="O4" s="15">
        <f>(P4+N4)/2</f>
        <v>11138.808375</v>
      </c>
      <c r="P4" s="16">
        <f>$Q$4*($F$33+INT(($F$33*(IF($T$8="true",$P$8,0)+$E$36+$K$55+$K$46-1))))/100</f>
        <v>12041.955</v>
      </c>
      <c r="Q4" s="402">
        <f>1.5*(4*$H$33+$G$33)</f>
        <v>5653.5</v>
      </c>
      <c r="R4" s="14">
        <f>N4*$G$52*(1-$G$49/100)</f>
        <v>8188.529399999999</v>
      </c>
      <c r="S4" s="15">
        <f>O4*$G$52*(1-$G$49/100)</f>
        <v>8911.0467</v>
      </c>
      <c r="T4" s="16">
        <f>P4*$G$52*(1-$G$49/100)</f>
        <v>9633.564</v>
      </c>
    </row>
    <row r="5" spans="2:20" ht="14.25" thickBot="1">
      <c r="B5" s="163" t="s">
        <v>244</v>
      </c>
      <c r="C5" s="397"/>
      <c r="D5" s="224">
        <v>5</v>
      </c>
      <c r="E5" s="42" t="s">
        <v>30</v>
      </c>
      <c r="F5" s="8"/>
      <c r="G5" s="8">
        <v>5</v>
      </c>
      <c r="H5" s="8"/>
      <c r="I5" s="8"/>
      <c r="J5" s="8"/>
      <c r="K5" s="9"/>
      <c r="N5" s="402">
        <f>P5*D30</f>
        <v>10235.66175</v>
      </c>
      <c r="O5" s="323"/>
      <c r="P5" s="402">
        <f>$Q$4*($F$33+INT(($F$33-$F$30)*$E$36)+INT($F$33*($K$55-1)))/100</f>
        <v>12041.955</v>
      </c>
      <c r="R5" s="402">
        <f>T5*D30</f>
        <v>8188.5294</v>
      </c>
      <c r="S5" s="402"/>
      <c r="T5" s="402">
        <f>P5*$G$52*(1-$G$49/100)</f>
        <v>9633.564</v>
      </c>
    </row>
    <row r="6" spans="2:19" ht="14.25" thickBot="1">
      <c r="B6" s="475" t="s">
        <v>802</v>
      </c>
      <c r="C6" s="545"/>
      <c r="D6" s="137">
        <v>30</v>
      </c>
      <c r="E6" s="42" t="s">
        <v>31</v>
      </c>
      <c r="F6" s="8"/>
      <c r="G6" s="8"/>
      <c r="H6" s="8"/>
      <c r="I6" s="8"/>
      <c r="J6" s="8"/>
      <c r="K6" s="9"/>
      <c r="N6" s="1405" t="s">
        <v>566</v>
      </c>
      <c r="O6" s="1376"/>
      <c r="P6" s="1376"/>
      <c r="Q6" s="1376"/>
      <c r="R6" s="1406"/>
      <c r="S6" s="460"/>
    </row>
    <row r="7" spans="2:20" ht="13.5">
      <c r="B7" s="500" t="s">
        <v>803</v>
      </c>
      <c r="C7" s="549"/>
      <c r="D7" s="9">
        <v>30</v>
      </c>
      <c r="E7" s="941" t="s">
        <v>33</v>
      </c>
      <c r="F7" s="8"/>
      <c r="G7" s="8"/>
      <c r="H7" s="8"/>
      <c r="I7" s="8"/>
      <c r="J7" s="8"/>
      <c r="K7" s="9"/>
      <c r="N7" s="1" t="s">
        <v>1053</v>
      </c>
      <c r="O7" s="3"/>
      <c r="P7" s="583">
        <v>0.15</v>
      </c>
      <c r="Q7" s="688" t="s">
        <v>1054</v>
      </c>
      <c r="R7" s="696"/>
      <c r="S7" s="460" t="b">
        <v>0</v>
      </c>
      <c r="T7" s="460" t="str">
        <f>IF(S7=TRUE,"TRUE",IF(R7=1,"TRUE","FLASE"))</f>
        <v>FLASE</v>
      </c>
    </row>
    <row r="8" spans="2:20" ht="13.5" customHeight="1" thickBot="1">
      <c r="B8" s="938" t="s">
        <v>425</v>
      </c>
      <c r="C8" s="939"/>
      <c r="D8" s="356">
        <v>1</v>
      </c>
      <c r="E8" s="942" t="s">
        <v>34</v>
      </c>
      <c r="F8" s="943"/>
      <c r="G8" s="635"/>
      <c r="H8" s="635">
        <v>5</v>
      </c>
      <c r="I8" s="635"/>
      <c r="J8" s="635"/>
      <c r="K8" s="306"/>
      <c r="N8" s="53" t="s">
        <v>1052</v>
      </c>
      <c r="O8" s="15"/>
      <c r="P8" s="697">
        <v>0.2</v>
      </c>
      <c r="Q8" s="700" t="s">
        <v>1054</v>
      </c>
      <c r="R8" s="501"/>
      <c r="S8" s="460" t="b">
        <v>0</v>
      </c>
      <c r="T8" s="460" t="str">
        <f>IF(S8=TRUE,"TRUE",IF(R8=1,"TRUE","FLASE"))</f>
        <v>FLASE</v>
      </c>
    </row>
    <row r="9" spans="2:11" ht="14.25" thickBot="1">
      <c r="B9" s="920" t="s">
        <v>426</v>
      </c>
      <c r="C9" s="921"/>
      <c r="D9" s="137">
        <v>1</v>
      </c>
      <c r="E9" s="10" t="s">
        <v>243</v>
      </c>
      <c r="F9" s="634">
        <v>100</v>
      </c>
      <c r="G9" s="634"/>
      <c r="H9" s="634">
        <v>7</v>
      </c>
      <c r="I9" s="634"/>
      <c r="J9" s="634"/>
      <c r="K9" s="204"/>
    </row>
    <row r="10" spans="1:19" ht="14.25" thickBot="1">
      <c r="A10" s="402" t="b">
        <v>1</v>
      </c>
      <c r="B10" s="626" t="s">
        <v>1048</v>
      </c>
      <c r="C10" s="54"/>
      <c r="D10" s="919"/>
      <c r="E10" s="7" t="s">
        <v>245</v>
      </c>
      <c r="F10" s="8"/>
      <c r="G10" s="8"/>
      <c r="H10" s="8"/>
      <c r="I10" s="8"/>
      <c r="J10" s="8"/>
      <c r="K10" s="9"/>
      <c r="N10" s="1158" t="str">
        <f>IF(D6&gt;=1,"ヘビーマシンガン(ミサイルタンク時)","ヘビーマシンガン(プロトタイプ時)")</f>
        <v>ヘビーマシンガン(ミサイルタンク時)</v>
      </c>
      <c r="O10" s="1159"/>
      <c r="P10" s="1159"/>
      <c r="Q10" s="1159"/>
      <c r="R10" s="896" t="s">
        <v>807</v>
      </c>
      <c r="S10" s="271">
        <f>21*6</f>
        <v>126</v>
      </c>
    </row>
    <row r="11" spans="2:19" ht="14.25" thickBot="1">
      <c r="B11" s="897" t="s">
        <v>427</v>
      </c>
      <c r="C11" s="898"/>
      <c r="D11" s="279">
        <v>10</v>
      </c>
      <c r="E11" s="42" t="s">
        <v>246</v>
      </c>
      <c r="F11" s="8"/>
      <c r="G11" s="8">
        <v>10</v>
      </c>
      <c r="H11" s="8">
        <v>20</v>
      </c>
      <c r="I11" s="8">
        <v>10</v>
      </c>
      <c r="J11" s="8">
        <v>10</v>
      </c>
      <c r="K11" s="9">
        <v>10</v>
      </c>
      <c r="N11" s="147" t="s">
        <v>576</v>
      </c>
      <c r="O11" s="208">
        <v>20</v>
      </c>
      <c r="P11" s="207" t="s">
        <v>252</v>
      </c>
      <c r="Q11" s="214">
        <f>(80+O11+IF(D6&gt;=1,30))/100</f>
        <v>1.3</v>
      </c>
      <c r="R11" s="14" t="s">
        <v>874</v>
      </c>
      <c r="S11" s="16">
        <f>45-3*INT(O11/2)</f>
        <v>15</v>
      </c>
    </row>
    <row r="12" spans="1:20" ht="14.25" thickBot="1">
      <c r="A12" s="402" t="b">
        <v>1</v>
      </c>
      <c r="B12" s="53" t="s">
        <v>1099</v>
      </c>
      <c r="C12" s="54"/>
      <c r="D12" s="919"/>
      <c r="E12" s="42" t="s">
        <v>247</v>
      </c>
      <c r="F12" s="8">
        <v>5</v>
      </c>
      <c r="G12" s="8"/>
      <c r="H12" s="8"/>
      <c r="I12" s="8"/>
      <c r="J12" s="8"/>
      <c r="K12" s="9"/>
      <c r="N12" s="1234" t="s">
        <v>549</v>
      </c>
      <c r="O12" s="186" t="s">
        <v>257</v>
      </c>
      <c r="P12" s="155">
        <f>MIN(INT(T12*$E$45),ReadMe!$M$99)</f>
        <v>12774</v>
      </c>
      <c r="Q12" s="1342" t="s">
        <v>806</v>
      </c>
      <c r="R12" s="1811"/>
      <c r="S12" s="1812"/>
      <c r="T12" s="893">
        <f>MIN(INT(($R$4*Q11)*(1+$B$38+$E$38+$B$56+$O$61)),ReadMe!$M$99)</f>
        <v>10645</v>
      </c>
    </row>
    <row r="13" spans="2:20" ht="13.5">
      <c r="B13" s="917" t="s">
        <v>1417</v>
      </c>
      <c r="C13" s="918"/>
      <c r="D13" s="899">
        <v>30</v>
      </c>
      <c r="E13" s="42" t="s">
        <v>248</v>
      </c>
      <c r="F13" s="8">
        <v>2</v>
      </c>
      <c r="G13" s="8"/>
      <c r="H13" s="8">
        <v>2</v>
      </c>
      <c r="I13" s="8"/>
      <c r="J13" s="8"/>
      <c r="K13" s="9">
        <v>7</v>
      </c>
      <c r="N13" s="1235"/>
      <c r="O13" s="261" t="s">
        <v>335</v>
      </c>
      <c r="P13" s="671">
        <f>MIN(INT(T13*(($E$41+$F$41)/2)),ReadMe!$M$99)</f>
        <v>15638</v>
      </c>
      <c r="Q13" s="1693">
        <f>P15*S10*$G$51</f>
        <v>1970388</v>
      </c>
      <c r="R13" s="1392"/>
      <c r="S13" s="1393"/>
      <c r="T13" s="893">
        <f>INT((T12+T14)/2)</f>
        <v>11584</v>
      </c>
    </row>
    <row r="14" spans="1:20" ht="14.25" thickBot="1">
      <c r="A14" s="402" t="b">
        <v>0</v>
      </c>
      <c r="B14" s="152" t="s">
        <v>1099</v>
      </c>
      <c r="C14" s="761"/>
      <c r="D14" s="935"/>
      <c r="E14" s="42" t="s">
        <v>249</v>
      </c>
      <c r="F14" s="8"/>
      <c r="G14" s="8">
        <v>7</v>
      </c>
      <c r="H14" s="8">
        <v>7</v>
      </c>
      <c r="I14" s="8">
        <v>7</v>
      </c>
      <c r="J14" s="8">
        <v>7</v>
      </c>
      <c r="K14" s="9"/>
      <c r="N14" s="1236"/>
      <c r="O14" s="86" t="s">
        <v>259</v>
      </c>
      <c r="P14" s="157">
        <f>MIN(INT(T14*$F$45),ReadMe!$M$99)</f>
        <v>18784</v>
      </c>
      <c r="Q14" s="1667"/>
      <c r="R14" s="1170"/>
      <c r="S14" s="1171"/>
      <c r="T14" s="893">
        <f>MIN(INT(($T$4*Q11)*(1+$B$38+$E$38+$B$56+$O$61)),ReadMe!$M$99)</f>
        <v>12523</v>
      </c>
    </row>
    <row r="15" spans="1:16" ht="14.25" thickBot="1">
      <c r="A15" s="21"/>
      <c r="B15" s="218"/>
      <c r="C15" s="397"/>
      <c r="D15" s="219"/>
      <c r="E15" s="42" t="s">
        <v>250</v>
      </c>
      <c r="F15" s="8"/>
      <c r="G15" s="8"/>
      <c r="H15" s="8">
        <v>10</v>
      </c>
      <c r="I15" s="8"/>
      <c r="J15" s="8"/>
      <c r="K15" s="9"/>
      <c r="L15" s="486" t="str">
        <f>IF(A10=TRUE,"TRUE",IF(D10=1,"TRUE","FLASE"))</f>
        <v>TRUE</v>
      </c>
      <c r="P15" s="402">
        <f>(P13/(1+$O$61)*(1+$Q$61))</f>
        <v>15638</v>
      </c>
    </row>
    <row r="16" spans="1:19" ht="14.25" thickBot="1">
      <c r="A16" s="21"/>
      <c r="B16" s="22"/>
      <c r="C16" s="21"/>
      <c r="D16" s="138"/>
      <c r="E16" s="42" t="s">
        <v>698</v>
      </c>
      <c r="F16" s="8"/>
      <c r="G16" s="8">
        <v>25</v>
      </c>
      <c r="H16" s="8">
        <v>5</v>
      </c>
      <c r="I16" s="8"/>
      <c r="J16" s="8"/>
      <c r="K16" s="9">
        <v>11</v>
      </c>
      <c r="N16" s="1158" t="s">
        <v>805</v>
      </c>
      <c r="O16" s="1159"/>
      <c r="P16" s="1159"/>
      <c r="Q16" s="1159"/>
      <c r="R16" s="17" t="s">
        <v>65</v>
      </c>
      <c r="S16" s="75">
        <f>O17/100</f>
        <v>0.3</v>
      </c>
    </row>
    <row r="17" spans="1:19" ht="14.25" thickBot="1">
      <c r="A17" s="21"/>
      <c r="B17" s="22"/>
      <c r="C17" s="21"/>
      <c r="D17" s="138"/>
      <c r="E17" s="42" t="s">
        <v>587</v>
      </c>
      <c r="F17" s="8"/>
      <c r="G17" s="8"/>
      <c r="H17" s="8"/>
      <c r="I17" s="8"/>
      <c r="J17" s="8"/>
      <c r="K17" s="9"/>
      <c r="L17" s="486" t="str">
        <f>IF(A12=TRUE,"TRUE",IF(D12=1,"TRUE","FLASE"))</f>
        <v>TRUE</v>
      </c>
      <c r="N17" s="147" t="s">
        <v>238</v>
      </c>
      <c r="O17" s="208">
        <f>D6</f>
        <v>30</v>
      </c>
      <c r="P17" s="207" t="s">
        <v>252</v>
      </c>
      <c r="Q17" s="214">
        <f>(70+O17)/100</f>
        <v>1</v>
      </c>
      <c r="R17" s="51" t="s">
        <v>267</v>
      </c>
      <c r="S17" s="73">
        <v>130</v>
      </c>
    </row>
    <row r="18" spans="1:19" ht="13.5">
      <c r="A18" s="21"/>
      <c r="B18" s="22"/>
      <c r="C18" s="21"/>
      <c r="D18" s="138"/>
      <c r="E18" s="42" t="s">
        <v>697</v>
      </c>
      <c r="F18" s="8"/>
      <c r="G18" s="8"/>
      <c r="H18" s="8"/>
      <c r="I18" s="8"/>
      <c r="J18" s="8"/>
      <c r="K18" s="9"/>
      <c r="N18" s="1227" t="s">
        <v>304</v>
      </c>
      <c r="O18" s="76" t="s">
        <v>257</v>
      </c>
      <c r="P18" s="521">
        <f>MIN(INT(($R$4*Q17)*(1+$B$38+$E$38+$B$56+$O$61)),ReadMe!$M$99)</f>
        <v>8188</v>
      </c>
      <c r="Q18" s="1234" t="s">
        <v>1358</v>
      </c>
      <c r="R18" s="186" t="s">
        <v>257</v>
      </c>
      <c r="S18" s="155">
        <f>MIN(INT(P18*$E$45),ReadMe!$M$99)</f>
        <v>9825</v>
      </c>
    </row>
    <row r="19" spans="1:19" ht="13.5">
      <c r="A19" s="21"/>
      <c r="B19" s="22"/>
      <c r="C19" s="21"/>
      <c r="D19" s="138"/>
      <c r="E19" s="42" t="s">
        <v>260</v>
      </c>
      <c r="F19" s="8"/>
      <c r="G19" s="8">
        <v>10</v>
      </c>
      <c r="H19" s="8">
        <v>10</v>
      </c>
      <c r="I19" s="8"/>
      <c r="J19" s="8"/>
      <c r="K19" s="9">
        <v>1</v>
      </c>
      <c r="L19" s="486" t="str">
        <f>IF(A14=TRUE,"TRUE",IF(D14=1,"TRUE","FLASE"))</f>
        <v>FLASE</v>
      </c>
      <c r="N19" s="1228"/>
      <c r="O19" s="43" t="s">
        <v>258</v>
      </c>
      <c r="P19" s="522">
        <f>INT((P18+P20)/2)</f>
        <v>8910</v>
      </c>
      <c r="Q19" s="1235"/>
      <c r="R19" s="79" t="s">
        <v>258</v>
      </c>
      <c r="S19" s="156">
        <f>MIN(INT(P19*(($E$41+$F$41)/2)),ReadMe!$M$99)</f>
        <v>12028</v>
      </c>
    </row>
    <row r="20" spans="1:19" ht="14.25" thickBot="1">
      <c r="A20" s="21"/>
      <c r="B20" s="22"/>
      <c r="C20" s="21"/>
      <c r="D20" s="138"/>
      <c r="E20" s="42" t="s">
        <v>261</v>
      </c>
      <c r="F20" s="8">
        <v>15</v>
      </c>
      <c r="G20" s="8"/>
      <c r="H20" s="8"/>
      <c r="I20" s="8"/>
      <c r="J20" s="8"/>
      <c r="K20" s="9"/>
      <c r="N20" s="1229"/>
      <c r="O20" s="15" t="s">
        <v>259</v>
      </c>
      <c r="P20" s="523">
        <f>MIN(INT(($T$4*Q17)*(1+$B$38+$E$38+$B$56+$O$61)),ReadMe!$M$99)</f>
        <v>9633</v>
      </c>
      <c r="Q20" s="1236"/>
      <c r="R20" s="86" t="s">
        <v>259</v>
      </c>
      <c r="S20" s="157">
        <f>MIN(INT(P20*$F$45),ReadMe!$M$99)</f>
        <v>14449</v>
      </c>
    </row>
    <row r="21" spans="1:19" ht="13.5">
      <c r="A21" s="460"/>
      <c r="B21" s="22"/>
      <c r="C21" s="21"/>
      <c r="D21" s="138"/>
      <c r="E21" s="42" t="s">
        <v>262</v>
      </c>
      <c r="F21" s="8">
        <v>4</v>
      </c>
      <c r="G21" s="8">
        <v>8</v>
      </c>
      <c r="H21" s="8"/>
      <c r="I21" s="8"/>
      <c r="J21" s="8"/>
      <c r="K21" s="9"/>
      <c r="N21" s="1519" t="s">
        <v>1379</v>
      </c>
      <c r="O21" s="1520"/>
      <c r="P21" s="1751"/>
      <c r="Q21" s="3" t="s">
        <v>257</v>
      </c>
      <c r="R21" s="1510">
        <f>P18*6</f>
        <v>49128</v>
      </c>
      <c r="S21" s="1511"/>
    </row>
    <row r="22" spans="1:20" ht="14.25" thickBot="1">
      <c r="A22" s="460"/>
      <c r="B22" s="136"/>
      <c r="C22" s="57"/>
      <c r="D22" s="139"/>
      <c r="E22" s="42" t="s">
        <v>5</v>
      </c>
      <c r="F22" s="8"/>
      <c r="G22" s="8">
        <v>3</v>
      </c>
      <c r="H22" s="8">
        <v>3</v>
      </c>
      <c r="I22" s="8">
        <v>3</v>
      </c>
      <c r="J22" s="8">
        <v>3</v>
      </c>
      <c r="K22" s="9"/>
      <c r="N22" s="1438"/>
      <c r="O22" s="1439"/>
      <c r="P22" s="1752"/>
      <c r="Q22" s="261" t="s">
        <v>335</v>
      </c>
      <c r="R22" s="1758">
        <f>INT(P19*(1-($G$45+$S$16))+S19*($G$45+S16))*6</f>
        <v>60006</v>
      </c>
      <c r="S22" s="1759"/>
      <c r="T22" s="402">
        <f>(R22/(1+$O$61)*(1+$Q$61))</f>
        <v>60006</v>
      </c>
    </row>
    <row r="23" spans="1:22" ht="14.25" thickBot="1">
      <c r="A23" s="648"/>
      <c r="B23" s="136"/>
      <c r="C23" s="57"/>
      <c r="D23" s="139"/>
      <c r="E23" s="42" t="s">
        <v>5</v>
      </c>
      <c r="F23" s="8">
        <v>1</v>
      </c>
      <c r="G23" s="8">
        <v>1</v>
      </c>
      <c r="H23" s="8">
        <v>1</v>
      </c>
      <c r="I23" s="8">
        <v>1</v>
      </c>
      <c r="J23" s="8">
        <v>1</v>
      </c>
      <c r="K23" s="9"/>
      <c r="N23" s="1164"/>
      <c r="O23" s="1644"/>
      <c r="P23" s="1753"/>
      <c r="Q23" s="15" t="s">
        <v>259</v>
      </c>
      <c r="R23" s="1515">
        <f>S20*6</f>
        <v>86694</v>
      </c>
      <c r="S23" s="1516"/>
      <c r="T23" s="1833" t="s">
        <v>214</v>
      </c>
      <c r="U23" s="1834"/>
      <c r="V23" s="1835"/>
    </row>
    <row r="24" spans="1:22" ht="14.25" thickBot="1">
      <c r="A24" s="648"/>
      <c r="B24" s="47"/>
      <c r="C24" s="491"/>
      <c r="D24" s="220"/>
      <c r="E24" s="42" t="s">
        <v>5</v>
      </c>
      <c r="F24" s="8">
        <v>1</v>
      </c>
      <c r="G24" s="8">
        <v>1</v>
      </c>
      <c r="H24" s="8">
        <v>1</v>
      </c>
      <c r="I24" s="8">
        <v>1</v>
      </c>
      <c r="J24" s="8">
        <v>1</v>
      </c>
      <c r="K24" s="9"/>
      <c r="N24" s="1458" t="s">
        <v>268</v>
      </c>
      <c r="O24" s="1459"/>
      <c r="P24" s="1459"/>
      <c r="Q24" s="1757">
        <f>IF($L$17="true",$Q$54*$R$48-($R$48*(S17/60))*T22,0)+IF($L$15="true",$T$54,0)+T22*S17*$G$51</f>
        <v>9738254.814814815</v>
      </c>
      <c r="R24" s="1478"/>
      <c r="S24" s="1479"/>
      <c r="T24" s="1743">
        <f>($Q$13*(60/$S$11))+(Q24-(S17/60*(60/$S$11)*5*T22))</f>
        <v>15019546.814814815</v>
      </c>
      <c r="U24" s="1781"/>
      <c r="V24" s="1744"/>
    </row>
    <row r="25" spans="1:11" ht="14.25" thickBot="1">
      <c r="A25" s="648"/>
      <c r="B25" s="936" t="s">
        <v>428</v>
      </c>
      <c r="C25" s="937"/>
      <c r="D25" s="204">
        <v>0</v>
      </c>
      <c r="E25" s="42" t="s">
        <v>5</v>
      </c>
      <c r="F25" s="8"/>
      <c r="G25" s="8"/>
      <c r="H25" s="8"/>
      <c r="I25" s="8"/>
      <c r="J25" s="8"/>
      <c r="K25" s="9"/>
    </row>
    <row r="26" spans="1:19" ht="14.25" thickBot="1">
      <c r="A26" s="648"/>
      <c r="B26" s="22" t="s">
        <v>429</v>
      </c>
      <c r="C26" s="43"/>
      <c r="D26" s="408">
        <f>IF(D25=0,0,(5+3*D25)/100)</f>
        <v>0</v>
      </c>
      <c r="E26" s="42" t="s">
        <v>1305</v>
      </c>
      <c r="F26" s="8"/>
      <c r="G26" s="8">
        <v>2</v>
      </c>
      <c r="H26" s="8">
        <v>2</v>
      </c>
      <c r="I26" s="8">
        <v>2</v>
      </c>
      <c r="J26" s="8">
        <v>2</v>
      </c>
      <c r="K26" s="9"/>
      <c r="N26" s="1158" t="s">
        <v>577</v>
      </c>
      <c r="O26" s="1159"/>
      <c r="P26" s="1159"/>
      <c r="Q26" s="1159"/>
      <c r="R26" s="1159"/>
      <c r="S26" s="1160"/>
    </row>
    <row r="27" spans="1:19" ht="14.25" thickBot="1">
      <c r="A27" s="648"/>
      <c r="B27" s="915" t="s">
        <v>872</v>
      </c>
      <c r="C27" s="68"/>
      <c r="D27" s="916">
        <f>D26</f>
        <v>0</v>
      </c>
      <c r="E27" s="42" t="s">
        <v>1306</v>
      </c>
      <c r="F27" s="8"/>
      <c r="G27" s="8">
        <v>3</v>
      </c>
      <c r="H27" s="8">
        <v>3</v>
      </c>
      <c r="I27" s="8">
        <v>3</v>
      </c>
      <c r="J27" s="8">
        <v>3</v>
      </c>
      <c r="K27" s="9"/>
      <c r="N27" s="147" t="s">
        <v>447</v>
      </c>
      <c r="O27" s="208">
        <f>D7</f>
        <v>30</v>
      </c>
      <c r="P27" s="207" t="s">
        <v>252</v>
      </c>
      <c r="Q27" s="214">
        <f>(240+4*O27)/100</f>
        <v>3.6</v>
      </c>
      <c r="R27" s="51" t="s">
        <v>267</v>
      </c>
      <c r="S27" s="73">
        <v>50</v>
      </c>
    </row>
    <row r="28" spans="1:19" ht="13.5">
      <c r="A28" s="402"/>
      <c r="B28" s="1" t="s">
        <v>804</v>
      </c>
      <c r="C28" s="535"/>
      <c r="D28" s="137">
        <v>30</v>
      </c>
      <c r="E28" s="42" t="s">
        <v>181</v>
      </c>
      <c r="F28" s="8"/>
      <c r="G28" s="8"/>
      <c r="H28" s="8"/>
      <c r="I28" s="8"/>
      <c r="J28" s="8"/>
      <c r="K28" s="9"/>
      <c r="N28" s="1227" t="s">
        <v>304</v>
      </c>
      <c r="O28" s="76" t="s">
        <v>257</v>
      </c>
      <c r="P28" s="521">
        <f>MIN(INT(($R$4*Q27)*(1+$B$38+$E$38+$B$56+$O$61)),ReadMe!$M$99)</f>
        <v>29478</v>
      </c>
      <c r="Q28" s="1234" t="s">
        <v>1358</v>
      </c>
      <c r="R28" s="186" t="s">
        <v>257</v>
      </c>
      <c r="S28" s="155">
        <f>MIN(INT(P28*$E$45),ReadMe!$M$99)</f>
        <v>35373</v>
      </c>
    </row>
    <row r="29" spans="1:19" ht="13.5">
      <c r="A29" s="402"/>
      <c r="B29" s="1501" t="s">
        <v>325</v>
      </c>
      <c r="C29" s="1502"/>
      <c r="D29" s="44">
        <f>25+ROUNDUP(D28/2,0)</f>
        <v>40</v>
      </c>
      <c r="E29" s="42" t="s">
        <v>349</v>
      </c>
      <c r="F29" s="8"/>
      <c r="G29" s="8"/>
      <c r="H29" s="8"/>
      <c r="I29" s="8"/>
      <c r="J29" s="8"/>
      <c r="K29" s="9"/>
      <c r="N29" s="1228"/>
      <c r="O29" s="43" t="s">
        <v>258</v>
      </c>
      <c r="P29" s="522">
        <f>INT((P28+P30)/2)</f>
        <v>32079</v>
      </c>
      <c r="Q29" s="1235"/>
      <c r="R29" s="79" t="s">
        <v>258</v>
      </c>
      <c r="S29" s="156">
        <f>MIN(INT(P29*(($E$41+$F$41)/2)),ReadMe!$M$99)</f>
        <v>43306</v>
      </c>
    </row>
    <row r="30" spans="1:19" ht="14.25" thickBot="1">
      <c r="A30" s="402"/>
      <c r="B30" s="1503" t="s">
        <v>310</v>
      </c>
      <c r="C30" s="1504"/>
      <c r="D30" s="28">
        <f>IF(D28=0,S62,(S62-0.5)+(55+ROUNDUP($D$28/2,0))/100)</f>
        <v>0.85</v>
      </c>
      <c r="E30" s="7" t="s">
        <v>1153</v>
      </c>
      <c r="F30" s="8">
        <v>20</v>
      </c>
      <c r="G30" s="8"/>
      <c r="H30" s="8"/>
      <c r="I30" s="8"/>
      <c r="J30" s="8"/>
      <c r="K30" s="9"/>
      <c r="N30" s="1229"/>
      <c r="O30" s="15" t="s">
        <v>259</v>
      </c>
      <c r="P30" s="523">
        <f>MIN(INT(($T$4*Q27)*(1+$B$38+$E$38+$B$56+$O$61)),ReadMe!$M$99)</f>
        <v>34680</v>
      </c>
      <c r="Q30" s="1236"/>
      <c r="R30" s="86" t="s">
        <v>259</v>
      </c>
      <c r="S30" s="157">
        <f>MIN(INT(P30*$F$45),ReadMe!$M$99)</f>
        <v>52020</v>
      </c>
    </row>
    <row r="31" spans="1:19" ht="13.5">
      <c r="A31" s="402"/>
      <c r="B31" s="1428" t="s">
        <v>568</v>
      </c>
      <c r="C31" s="1429"/>
      <c r="D31" s="2">
        <v>9</v>
      </c>
      <c r="E31" s="216" t="s">
        <v>569</v>
      </c>
      <c r="F31" s="8">
        <v>20</v>
      </c>
      <c r="G31" s="40">
        <f>ROUNDDOWN(G3*D32%,0)</f>
        <v>2</v>
      </c>
      <c r="H31" s="40">
        <f>ROUNDDOWN(H3*D32%,0)</f>
        <v>36</v>
      </c>
      <c r="I31" s="40">
        <f>ROUNDDOWN(I3*D32%,0)</f>
        <v>0</v>
      </c>
      <c r="J31" s="40">
        <f>ROUNDDOWN(J3*D32%,0)</f>
        <v>0</v>
      </c>
      <c r="K31" s="9">
        <v>40</v>
      </c>
      <c r="N31" s="1519" t="s">
        <v>1135</v>
      </c>
      <c r="O31" s="1520"/>
      <c r="P31" s="1751"/>
      <c r="Q31" s="3" t="s">
        <v>257</v>
      </c>
      <c r="R31" s="1510">
        <f>P28*3</f>
        <v>88434</v>
      </c>
      <c r="S31" s="1511"/>
    </row>
    <row r="32" spans="2:20" ht="14.25" thickBot="1">
      <c r="B32" s="14" t="s">
        <v>263</v>
      </c>
      <c r="C32" s="538"/>
      <c r="D32" s="46">
        <f>ROUNDUP(D31/2,0)</f>
        <v>5</v>
      </c>
      <c r="E32" s="7" t="s">
        <v>264</v>
      </c>
      <c r="F32" s="43">
        <f>D33+D29</f>
        <v>40</v>
      </c>
      <c r="G32" s="43">
        <f>SUM(G4:G30)</f>
        <v>75</v>
      </c>
      <c r="H32" s="43">
        <f>SUM(H4:H30)</f>
        <v>76</v>
      </c>
      <c r="I32" s="43">
        <f>SUM(I4:I30)</f>
        <v>27</v>
      </c>
      <c r="J32" s="43">
        <f>SUM(J4:J30)</f>
        <v>27</v>
      </c>
      <c r="K32" s="44">
        <f>SUM(K3:K31)+D33</f>
        <v>69</v>
      </c>
      <c r="N32" s="1438"/>
      <c r="O32" s="1439"/>
      <c r="P32" s="1752"/>
      <c r="Q32" s="261" t="s">
        <v>335</v>
      </c>
      <c r="R32" s="1758">
        <f>INT(P29*(1-$G$45)+S29*$G$45)*3</f>
        <v>97920</v>
      </c>
      <c r="S32" s="1759"/>
      <c r="T32" s="402">
        <f>(R32/(1+$O$61))*(1+$Q$61)</f>
        <v>97920</v>
      </c>
    </row>
    <row r="33" spans="2:22" ht="14.25" thickBot="1">
      <c r="B33" s="17" t="s">
        <v>1378</v>
      </c>
      <c r="C33" s="195"/>
      <c r="D33" s="313">
        <v>0</v>
      </c>
      <c r="E33" s="14" t="s">
        <v>256</v>
      </c>
      <c r="F33" s="48">
        <f>SUM(F4:F32)</f>
        <v>213</v>
      </c>
      <c r="G33" s="546">
        <f>INT((G3+G31+G32)*(1+G36))</f>
        <v>125</v>
      </c>
      <c r="H33" s="546">
        <f>INT((H3+H31+H32)*(1+H36))</f>
        <v>911</v>
      </c>
      <c r="I33" s="546">
        <f>INT((I3+I31+I32)*(1+I36))</f>
        <v>31</v>
      </c>
      <c r="J33" s="546">
        <f>INT((J3+J31+J32)*(1+J36))</f>
        <v>31</v>
      </c>
      <c r="K33" s="547">
        <f>($G$33*0.4+$J$33*0.8+$H$33*1.6+K32)*(1+K36)</f>
        <v>1601.4</v>
      </c>
      <c r="N33" s="1164"/>
      <c r="O33" s="1644"/>
      <c r="P33" s="1753"/>
      <c r="Q33" s="15" t="s">
        <v>259</v>
      </c>
      <c r="R33" s="1515">
        <f>S30*3</f>
        <v>156060</v>
      </c>
      <c r="S33" s="1516"/>
      <c r="T33" s="1833" t="s">
        <v>214</v>
      </c>
      <c r="U33" s="1834"/>
      <c r="V33" s="1835"/>
    </row>
    <row r="34" spans="2:22" ht="14.25" thickBot="1">
      <c r="B34" s="1305" t="s">
        <v>981</v>
      </c>
      <c r="C34" s="1306"/>
      <c r="D34" s="1306"/>
      <c r="E34" s="1306"/>
      <c r="F34" s="1306"/>
      <c r="G34" s="1306"/>
      <c r="H34" s="1306"/>
      <c r="I34" s="1306"/>
      <c r="J34" s="1306"/>
      <c r="K34" s="1307"/>
      <c r="N34" s="1458" t="s">
        <v>268</v>
      </c>
      <c r="O34" s="1459"/>
      <c r="P34" s="1459"/>
      <c r="Q34" s="1757">
        <f>IF($L$17="true",$Q$54*$R$48-($R$48*(S27/60))*T32,0)+IF($L$15="true",$T$54,0)+T32*S27*$G$51</f>
        <v>6869336.296296297</v>
      </c>
      <c r="R34" s="1478"/>
      <c r="S34" s="1479"/>
      <c r="T34" s="1743">
        <f>($Q$13*(60/$S$11))+(Q34-(S27/60*(60/$S$11)*5*T32))</f>
        <v>13118888.296296297</v>
      </c>
      <c r="U34" s="1781"/>
      <c r="V34" s="1744"/>
    </row>
    <row r="35" spans="2:11" ht="14.25" thickBot="1">
      <c r="B35" s="1218" t="s">
        <v>762</v>
      </c>
      <c r="C35" s="1219"/>
      <c r="D35" s="1220"/>
      <c r="E35" s="1308" t="s">
        <v>982</v>
      </c>
      <c r="F35" s="1309"/>
      <c r="G35" s="1" t="s">
        <v>352</v>
      </c>
      <c r="H35" s="3" t="s">
        <v>353</v>
      </c>
      <c r="I35" s="3" t="s">
        <v>354</v>
      </c>
      <c r="J35" s="3" t="s">
        <v>355</v>
      </c>
      <c r="K35" s="4" t="s">
        <v>987</v>
      </c>
    </row>
    <row r="36" spans="2:19" ht="14.25" thickBot="1">
      <c r="B36" s="1210">
        <v>0</v>
      </c>
      <c r="C36" s="1211"/>
      <c r="D36" s="1212"/>
      <c r="E36" s="1130">
        <v>0</v>
      </c>
      <c r="F36" s="1131"/>
      <c r="G36" s="542">
        <v>0</v>
      </c>
      <c r="H36" s="543">
        <v>0.09</v>
      </c>
      <c r="I36" s="543">
        <v>0</v>
      </c>
      <c r="J36" s="543">
        <v>0</v>
      </c>
      <c r="K36" s="544">
        <v>0</v>
      </c>
      <c r="N36" s="1158" t="s">
        <v>578</v>
      </c>
      <c r="O36" s="1159"/>
      <c r="P36" s="1159"/>
      <c r="Q36" s="1159"/>
      <c r="R36" s="1159"/>
      <c r="S36" s="1160"/>
    </row>
    <row r="37" spans="2:19" ht="14.25" thickBot="1">
      <c r="B37" s="1221" t="s">
        <v>135</v>
      </c>
      <c r="C37" s="1166"/>
      <c r="D37" s="1177"/>
      <c r="E37" s="1261" t="s">
        <v>877</v>
      </c>
      <c r="F37" s="1262"/>
      <c r="N37" s="262" t="s">
        <v>447</v>
      </c>
      <c r="O37" s="208">
        <f>D8</f>
        <v>1</v>
      </c>
      <c r="P37" s="254" t="s">
        <v>252</v>
      </c>
      <c r="Q37" s="214">
        <f>(800+15*O37)/100</f>
        <v>8.15</v>
      </c>
      <c r="R37" s="401" t="s">
        <v>874</v>
      </c>
      <c r="S37" s="481">
        <f>40-2*INT(O37/3)</f>
        <v>40</v>
      </c>
    </row>
    <row r="38" spans="2:19" ht="14.25" thickBot="1">
      <c r="B38" s="1210">
        <v>0</v>
      </c>
      <c r="C38" s="1222"/>
      <c r="D38" s="1212"/>
      <c r="E38" s="1130">
        <v>0</v>
      </c>
      <c r="F38" s="1131"/>
      <c r="N38" s="1227" t="s">
        <v>304</v>
      </c>
      <c r="O38" s="76" t="s">
        <v>257</v>
      </c>
      <c r="P38" s="521">
        <f>MIN(INT(($N$4*Q37)*(1+$B$38+$E$38+$B$56+$O$61)),ReadMe!$M$99)</f>
        <v>83420</v>
      </c>
      <c r="Q38" s="1234" t="s">
        <v>1358</v>
      </c>
      <c r="R38" s="186" t="s">
        <v>257</v>
      </c>
      <c r="S38" s="155">
        <f>MIN(INT(P38*$E$45),ReadMe!$M$99)</f>
        <v>100104</v>
      </c>
    </row>
    <row r="39" spans="14:19" ht="14.25" thickBot="1">
      <c r="N39" s="1228"/>
      <c r="O39" s="43" t="s">
        <v>258</v>
      </c>
      <c r="P39" s="522">
        <f>INT((P38+P40)/2)</f>
        <v>90780</v>
      </c>
      <c r="Q39" s="1235"/>
      <c r="R39" s="79" t="s">
        <v>258</v>
      </c>
      <c r="S39" s="156">
        <f>MIN(INT(P39*(($E$41+$F$41)/2)),ReadMe!$M$99)</f>
        <v>122553</v>
      </c>
    </row>
    <row r="40" spans="2:19" ht="14.25" thickBot="1">
      <c r="B40" s="1280" t="s">
        <v>567</v>
      </c>
      <c r="C40" s="1281"/>
      <c r="D40" s="1281"/>
      <c r="E40" s="503" t="s">
        <v>257</v>
      </c>
      <c r="F40" s="19" t="s">
        <v>259</v>
      </c>
      <c r="G40" s="504" t="s">
        <v>1085</v>
      </c>
      <c r="I40" s="1256" t="s">
        <v>438</v>
      </c>
      <c r="J40" s="1300"/>
      <c r="K40" s="1301"/>
      <c r="N40" s="1229"/>
      <c r="O40" s="15" t="s">
        <v>259</v>
      </c>
      <c r="P40" s="523">
        <f>MIN(INT(($P$4*Q37)*(1+$B$38+$E$38+$B$56+$O$61)),ReadMe!$M$99)</f>
        <v>98141</v>
      </c>
      <c r="Q40" s="1236"/>
      <c r="R40" s="86" t="s">
        <v>259</v>
      </c>
      <c r="S40" s="157">
        <f>MIN(INT(P40*$F$45),ReadMe!$M$99)</f>
        <v>147211</v>
      </c>
    </row>
    <row r="41" spans="2:19" ht="14.25" thickBot="1">
      <c r="B41" s="1213" t="s">
        <v>90</v>
      </c>
      <c r="C41" s="1214"/>
      <c r="D41" s="1215"/>
      <c r="E41" s="35">
        <v>1.2</v>
      </c>
      <c r="F41" s="507">
        <v>1.5</v>
      </c>
      <c r="G41" s="241">
        <f>0.05+IF(T7="true",P7,0)</f>
        <v>0.05</v>
      </c>
      <c r="I41" s="1256" t="s">
        <v>440</v>
      </c>
      <c r="J41" s="1257"/>
      <c r="K41" s="1258"/>
      <c r="N41" s="1434" t="s">
        <v>323</v>
      </c>
      <c r="O41" s="1435"/>
      <c r="P41" s="1435"/>
      <c r="Q41" s="1756">
        <f>INT(P39*(1-$G$45)+S39*$G$45)</f>
        <v>92368</v>
      </c>
      <c r="R41" s="1178"/>
      <c r="S41" s="1179"/>
    </row>
    <row r="42" spans="2:19" ht="14.25" thickBot="1">
      <c r="B42" s="1228" t="s">
        <v>570</v>
      </c>
      <c r="C42" s="1284"/>
      <c r="D42" s="516">
        <v>0</v>
      </c>
      <c r="E42" s="506"/>
      <c r="F42" s="505">
        <f>D42/100</f>
        <v>0</v>
      </c>
      <c r="G42" s="511">
        <f>IF(D42=0,0,(5+ROUNDUP(D42/2,0))/100)</f>
        <v>0</v>
      </c>
      <c r="I42" s="771" t="s">
        <v>437</v>
      </c>
      <c r="J42" s="205"/>
      <c r="K42" s="228">
        <v>0</v>
      </c>
      <c r="N42" s="674"/>
      <c r="O42" s="76" t="s">
        <v>257</v>
      </c>
      <c r="P42" s="521">
        <f>MIN(P38*2,ReadMe!$M$99)</f>
        <v>166840</v>
      </c>
      <c r="Q42" s="1234" t="s">
        <v>1358</v>
      </c>
      <c r="R42" s="186" t="s">
        <v>257</v>
      </c>
      <c r="S42" s="155">
        <f>MIN(INT(P42*$E$45),ReadMe!$M$99)</f>
        <v>200208</v>
      </c>
    </row>
    <row r="43" spans="1:19" ht="14.25" thickBot="1">
      <c r="A43" s="402" t="b">
        <v>0</v>
      </c>
      <c r="B43" s="1228" t="s">
        <v>87</v>
      </c>
      <c r="C43" s="1284"/>
      <c r="D43" s="512"/>
      <c r="E43" s="506"/>
      <c r="F43" s="505">
        <f>IF(H43="true",0.15,0)</f>
        <v>0</v>
      </c>
      <c r="G43" s="511">
        <f>IF(H43="true",0.1,0)</f>
        <v>0</v>
      </c>
      <c r="H43" s="402" t="str">
        <f>IF(A43=TRUE,"TRUE",IF(D43=1,"TRUE","FLASE"))</f>
        <v>FLASE</v>
      </c>
      <c r="N43" s="250" t="s">
        <v>579</v>
      </c>
      <c r="O43" s="43" t="s">
        <v>258</v>
      </c>
      <c r="P43" s="522">
        <f>MIN(P39*2,ReadMe!$M$99)</f>
        <v>181560</v>
      </c>
      <c r="Q43" s="1235"/>
      <c r="R43" s="79" t="s">
        <v>258</v>
      </c>
      <c r="S43" s="156">
        <f>MIN(INT(P43*(($E$41+$F$41)/2)),ReadMe!$M$99)</f>
        <v>245106</v>
      </c>
    </row>
    <row r="44" spans="2:19" ht="14.25" thickBot="1">
      <c r="B44" s="1285" t="s">
        <v>89</v>
      </c>
      <c r="C44" s="1286"/>
      <c r="D44" s="1287"/>
      <c r="E44" s="513">
        <v>0</v>
      </c>
      <c r="F44" s="514">
        <v>0</v>
      </c>
      <c r="G44" s="515">
        <v>0</v>
      </c>
      <c r="I44" s="1259" t="s">
        <v>128</v>
      </c>
      <c r="J44" s="1260"/>
      <c r="K44" s="791"/>
      <c r="L44" s="402" t="b">
        <v>0</v>
      </c>
      <c r="M44" s="486" t="str">
        <f>IF(L44=TRUE,"TRUE",IF(K44=1,"TRUE","FLASE"))</f>
        <v>FLASE</v>
      </c>
      <c r="N44" s="675" t="s">
        <v>8</v>
      </c>
      <c r="O44" s="15" t="s">
        <v>259</v>
      </c>
      <c r="P44" s="523">
        <f>MIN(P40*2,ReadMe!$M$99)</f>
        <v>196282</v>
      </c>
      <c r="Q44" s="1236"/>
      <c r="R44" s="86" t="s">
        <v>259</v>
      </c>
      <c r="S44" s="157">
        <f>MIN(INT(P44*$F$45),ReadMe!$M$99)</f>
        <v>294423</v>
      </c>
    </row>
    <row r="45" spans="2:19" ht="14.25" thickBot="1">
      <c r="B45" s="1290" t="s">
        <v>91</v>
      </c>
      <c r="C45" s="1291"/>
      <c r="D45" s="1292"/>
      <c r="E45" s="508">
        <f>E41+E43+E44</f>
        <v>1.2</v>
      </c>
      <c r="F45" s="509">
        <f>F41+MAX(F42,F43)+F44</f>
        <v>1.5</v>
      </c>
      <c r="G45" s="510">
        <f>G41+MAX(G42,G43)+G44</f>
        <v>0.05</v>
      </c>
      <c r="I45" s="590" t="s">
        <v>1119</v>
      </c>
      <c r="J45" s="888"/>
      <c r="K45" s="889">
        <v>0</v>
      </c>
      <c r="N45" s="1434" t="s">
        <v>323</v>
      </c>
      <c r="O45" s="1435"/>
      <c r="P45" s="1435"/>
      <c r="Q45" s="1756">
        <f>INT(P43*(1-$G$45)+S43*$G$45)</f>
        <v>184737</v>
      </c>
      <c r="R45" s="1178"/>
      <c r="S45" s="1179"/>
    </row>
    <row r="46" spans="2:20" ht="14.25" thickBot="1">
      <c r="B46" s="1216" t="s">
        <v>331</v>
      </c>
      <c r="C46" s="1199"/>
      <c r="D46" s="1200"/>
      <c r="E46" s="1253">
        <f>(($E$45+$F$45)/2-1)*$G$45+1</f>
        <v>1.0175</v>
      </c>
      <c r="F46" s="1254"/>
      <c r="G46" s="1255"/>
      <c r="I46" s="1836" t="s">
        <v>854</v>
      </c>
      <c r="J46" s="1837"/>
      <c r="K46" s="890">
        <f>IF(M44="true",IF(K45&gt;0,10+ROUNDUP(K45/3,0),10)/100,0)</f>
        <v>0</v>
      </c>
      <c r="L46" s="323"/>
      <c r="M46" s="323"/>
      <c r="O46" s="57"/>
      <c r="P46" s="57"/>
      <c r="Q46" s="57"/>
      <c r="R46" s="57"/>
      <c r="S46" s="57"/>
      <c r="T46" s="57"/>
    </row>
    <row r="47" spans="14:20" ht="14.25" thickBot="1">
      <c r="N47" s="1539" t="s">
        <v>580</v>
      </c>
      <c r="O47" s="1540"/>
      <c r="P47" s="1540"/>
      <c r="Q47" s="1841"/>
      <c r="S47" s="1405" t="s">
        <v>581</v>
      </c>
      <c r="T47" s="1406"/>
    </row>
    <row r="48" spans="9:20" ht="14.25" thickBot="1">
      <c r="I48" s="1137" t="s">
        <v>571</v>
      </c>
      <c r="J48" s="1138"/>
      <c r="K48" s="1139"/>
      <c r="N48" s="909" t="s">
        <v>574</v>
      </c>
      <c r="O48" s="907">
        <f>D11</f>
        <v>10</v>
      </c>
      <c r="P48" s="908" t="s">
        <v>874</v>
      </c>
      <c r="Q48" s="148">
        <f>90-3*INT(O48/3)</f>
        <v>81</v>
      </c>
      <c r="R48" s="402">
        <f>60/MAX(Q48,O49)</f>
        <v>0.7407407407407407</v>
      </c>
      <c r="S48" s="222" t="s">
        <v>238</v>
      </c>
      <c r="T48" s="271">
        <f>20</f>
        <v>20</v>
      </c>
    </row>
    <row r="49" spans="2:20" ht="14.25" thickBot="1">
      <c r="B49" s="1282" t="s">
        <v>735</v>
      </c>
      <c r="C49" s="1283"/>
      <c r="D49" s="533">
        <v>125</v>
      </c>
      <c r="E49" s="1249" t="s">
        <v>736</v>
      </c>
      <c r="F49" s="1250"/>
      <c r="G49" s="25">
        <f>IF(D2&gt;D49,0,$D$49-$D$2)</f>
        <v>0</v>
      </c>
      <c r="I49" s="416" t="s">
        <v>572</v>
      </c>
      <c r="J49" s="539"/>
      <c r="K49" s="204">
        <v>0</v>
      </c>
      <c r="L49" s="323"/>
      <c r="M49" s="323"/>
      <c r="N49" s="900" t="s">
        <v>872</v>
      </c>
      <c r="O49" s="901">
        <f>(20+2*INT(O48/3))*(1+$D$26)</f>
        <v>26</v>
      </c>
      <c r="P49" s="1604" t="s">
        <v>582</v>
      </c>
      <c r="Q49" s="1605"/>
      <c r="S49" s="212" t="s">
        <v>1407</v>
      </c>
      <c r="T49" s="528">
        <f>ROUNDUP(T48/7,0)</f>
        <v>3</v>
      </c>
    </row>
    <row r="50" spans="2:20" ht="14.25" thickBot="1">
      <c r="B50" s="1242" t="s">
        <v>769</v>
      </c>
      <c r="C50" s="1243"/>
      <c r="D50" s="9">
        <v>12</v>
      </c>
      <c r="E50" s="1242" t="s">
        <v>771</v>
      </c>
      <c r="F50" s="1243"/>
      <c r="G50" s="615">
        <f>IF(G49&gt;0,"-",D50)</f>
        <v>12</v>
      </c>
      <c r="I50" s="417" t="s">
        <v>161</v>
      </c>
      <c r="J50" s="540"/>
      <c r="K50" s="418">
        <f>IF(K49&gt;0,(K49+10)/100,0)</f>
        <v>0</v>
      </c>
      <c r="N50" s="894" t="s">
        <v>1416</v>
      </c>
      <c r="O50" s="902">
        <f>IF(O48=0,0,(700+10*O48)/100)*(1+$D$26)</f>
        <v>8</v>
      </c>
      <c r="P50" s="895" t="s">
        <v>301</v>
      </c>
      <c r="Q50" s="159">
        <f>IF(O48=0,0,(200+5*O48)/100)</f>
        <v>2.5</v>
      </c>
      <c r="S50" s="213" t="s">
        <v>301</v>
      </c>
      <c r="T50" s="614">
        <f>((150+3*T48)*((D9*2)/100+1))/100</f>
        <v>2.1420000000000003</v>
      </c>
    </row>
    <row r="51" spans="2:20" ht="14.25" thickBot="1">
      <c r="B51" s="1293" t="s">
        <v>734</v>
      </c>
      <c r="C51" s="1294"/>
      <c r="D51" s="9">
        <v>0</v>
      </c>
      <c r="E51" s="1242" t="s">
        <v>770</v>
      </c>
      <c r="F51" s="1243"/>
      <c r="G51" s="511">
        <f>MAX((MIN(100+SQRT($K$33)-SQRT($D$50),100)-2*G49)/100,0)</f>
        <v>1</v>
      </c>
      <c r="N51" s="894" t="s">
        <v>1411</v>
      </c>
      <c r="O51" s="903">
        <f>MIN(INT(N5*O50)*(1+$B$38+$E$38+$B$56),ReadMe!$M$99)</f>
        <v>81885</v>
      </c>
      <c r="P51" s="894" t="s">
        <v>1412</v>
      </c>
      <c r="Q51" s="273">
        <f>MIN(INT($N$5*Q50)*(1+$B$38+$E$38+$B$56),ReadMe!$M$99)</f>
        <v>25589</v>
      </c>
      <c r="S51" s="268" t="s">
        <v>257</v>
      </c>
      <c r="T51" s="273">
        <f>MIN(INT(N5*T50)*(1+$B$38+$E$38+$B$56),ReadMe!$M$99)</f>
        <v>21924</v>
      </c>
    </row>
    <row r="52" spans="2:20" ht="14.25" thickBot="1">
      <c r="B52" s="1278" t="s">
        <v>979</v>
      </c>
      <c r="C52" s="1279"/>
      <c r="D52" s="534">
        <v>0.25</v>
      </c>
      <c r="E52" s="1197" t="s">
        <v>980</v>
      </c>
      <c r="F52" s="1198"/>
      <c r="G52" s="28">
        <f>1-(D52-ROUNDUP(D52*(K50+20%+B36),2))</f>
        <v>0.8</v>
      </c>
      <c r="I52" s="1246" t="s">
        <v>573</v>
      </c>
      <c r="J52" s="1247"/>
      <c r="K52" s="1248"/>
      <c r="L52" s="323"/>
      <c r="M52" s="162"/>
      <c r="N52" s="272" t="s">
        <v>1409</v>
      </c>
      <c r="O52" s="903">
        <f>INT((O53+O51)/2)</f>
        <v>89110</v>
      </c>
      <c r="P52" s="272" t="s">
        <v>1413</v>
      </c>
      <c r="Q52" s="273">
        <f>INT((Q53+Q51)/2)</f>
        <v>27846</v>
      </c>
      <c r="S52" s="272" t="s">
        <v>258</v>
      </c>
      <c r="T52" s="273">
        <f>INT((T53+T51)/2)</f>
        <v>23858</v>
      </c>
    </row>
    <row r="53" spans="4:20" ht="14.25" thickBot="1">
      <c r="D53" s="402">
        <f>$D$51*(1-($K$50+$B$36))</f>
        <v>0</v>
      </c>
      <c r="G53" s="317"/>
      <c r="I53" s="1127" t="s">
        <v>988</v>
      </c>
      <c r="J53" s="1217"/>
      <c r="K53" s="468"/>
      <c r="L53" s="486" t="b">
        <v>0</v>
      </c>
      <c r="M53" s="486" t="str">
        <f>IF(L53=TRUE,"TRUE",IF(K53=1,"TRUE","FLASE"))</f>
        <v>FLASE</v>
      </c>
      <c r="N53" s="911" t="s">
        <v>1408</v>
      </c>
      <c r="O53" s="912">
        <f>MIN(INT($P$5*O50)*(1+$B$38+$E$38+$B$56),ReadMe!$M$99)</f>
        <v>96335</v>
      </c>
      <c r="P53" s="911" t="s">
        <v>1414</v>
      </c>
      <c r="Q53" s="143">
        <f>MIN(INT($P$5*Q50)*(1+$B$38+$E$38+$B$56),ReadMe!$M$99)</f>
        <v>30104</v>
      </c>
      <c r="S53" s="274" t="s">
        <v>259</v>
      </c>
      <c r="T53" s="143">
        <f>MIN(INT($P$5*T50)*(1+$B$38+$E$38+$B$56+$O$61),ReadMe!$M$99)</f>
        <v>25793</v>
      </c>
    </row>
    <row r="54" spans="2:20" ht="14.25" thickBot="1">
      <c r="B54" s="1153" t="s">
        <v>1084</v>
      </c>
      <c r="C54" s="1133"/>
      <c r="D54" s="1129"/>
      <c r="I54" s="1244" t="s">
        <v>989</v>
      </c>
      <c r="J54" s="1245"/>
      <c r="K54" s="469"/>
      <c r="L54" s="486" t="b">
        <v>0</v>
      </c>
      <c r="M54" s="486" t="str">
        <f>IF(L54=TRUE,"TRUE",IF(K54=1,"TRUE","FLASE"))</f>
        <v>FLASE</v>
      </c>
      <c r="N54" s="1773" t="s">
        <v>1415</v>
      </c>
      <c r="O54" s="1774"/>
      <c r="P54" s="1645"/>
      <c r="Q54" s="910">
        <f>O49*Q52+O52</f>
        <v>813106</v>
      </c>
      <c r="S54" s="221" t="s">
        <v>130</v>
      </c>
      <c r="T54" s="913">
        <f>T52*T49*(60/3)</f>
        <v>1431480</v>
      </c>
    </row>
    <row r="55" spans="2:13" ht="14.25" thickBot="1">
      <c r="B55" s="1187" t="s">
        <v>877</v>
      </c>
      <c r="C55" s="1188"/>
      <c r="D55" s="1189"/>
      <c r="I55" s="1240" t="s">
        <v>854</v>
      </c>
      <c r="J55" s="1241"/>
      <c r="K55" s="206">
        <f>IF(M53="TRUE",1.04,IF(M54="TRUE",1.02,1))</f>
        <v>1</v>
      </c>
      <c r="L55" s="323"/>
      <c r="M55" s="323"/>
    </row>
    <row r="56" spans="2:17" ht="14.25" thickBot="1">
      <c r="B56" s="1194">
        <v>0</v>
      </c>
      <c r="C56" s="1195"/>
      <c r="D56" s="1196"/>
      <c r="N56" s="1405" t="s">
        <v>583</v>
      </c>
      <c r="O56" s="1376"/>
      <c r="P56" s="1159"/>
      <c r="Q56" s="1160"/>
    </row>
    <row r="57" spans="14:17" ht="14.25" thickBot="1">
      <c r="N57" s="291" t="s">
        <v>447</v>
      </c>
      <c r="O57" s="271">
        <f>D13</f>
        <v>30</v>
      </c>
      <c r="P57" s="904" t="s">
        <v>1416</v>
      </c>
      <c r="Q57" s="408">
        <f>(200+5*O57)/100*(1+D25)</f>
        <v>3.5</v>
      </c>
    </row>
    <row r="58" spans="2:17" ht="14.25" thickBot="1">
      <c r="B58" s="1201" t="s">
        <v>265</v>
      </c>
      <c r="C58" s="1202"/>
      <c r="D58" s="1202"/>
      <c r="E58" s="1202"/>
      <c r="F58" s="1202"/>
      <c r="G58" s="1202"/>
      <c r="H58" s="1202"/>
      <c r="I58" s="1202"/>
      <c r="J58" s="1202"/>
      <c r="K58" s="1202"/>
      <c r="L58" s="1203"/>
      <c r="N58" s="212" t="s">
        <v>874</v>
      </c>
      <c r="O58" s="528">
        <f>90</f>
        <v>90</v>
      </c>
      <c r="P58" s="904" t="s">
        <v>1411</v>
      </c>
      <c r="Q58" s="273">
        <f>MIN(INT($N$5*Q57)*(1+$B$38+$E$38+$B$56),ReadMe!$M$99)</f>
        <v>35824</v>
      </c>
    </row>
    <row r="59" spans="2:17" ht="13.5">
      <c r="B59" s="1838" t="s">
        <v>605</v>
      </c>
      <c r="C59" s="1839"/>
      <c r="D59" s="1839"/>
      <c r="E59" s="1839"/>
      <c r="F59" s="1839"/>
      <c r="G59" s="1839"/>
      <c r="H59" s="1839"/>
      <c r="I59" s="1839"/>
      <c r="J59" s="1839"/>
      <c r="K59" s="1839"/>
      <c r="L59" s="1840"/>
      <c r="N59" s="212" t="s">
        <v>872</v>
      </c>
      <c r="O59" s="528">
        <f>(40+2*O57)*(1+D26)</f>
        <v>100</v>
      </c>
      <c r="P59" s="905" t="s">
        <v>1409</v>
      </c>
      <c r="Q59" s="273">
        <f>INT((Q60+Q58)/2)</f>
        <v>38985</v>
      </c>
    </row>
    <row r="60" spans="2:17" ht="14.25" thickBot="1">
      <c r="B60" s="1387" t="s">
        <v>46</v>
      </c>
      <c r="C60" s="1533"/>
      <c r="D60" s="1388"/>
      <c r="E60" s="1388"/>
      <c r="F60" s="1388"/>
      <c r="G60" s="1388"/>
      <c r="H60" s="1388"/>
      <c r="I60" s="1388"/>
      <c r="J60" s="1388"/>
      <c r="K60" s="1388"/>
      <c r="L60" s="1389"/>
      <c r="N60" s="914" t="s">
        <v>1418</v>
      </c>
      <c r="O60" s="28">
        <f>O57/100</f>
        <v>0.3</v>
      </c>
      <c r="P60" s="906" t="s">
        <v>1408</v>
      </c>
      <c r="Q60" s="143">
        <f>MIN(INT($P$5*Q57)*(1+$B$38+$E$38+$B$56+$O$61),ReadMe!$M$99)</f>
        <v>42146</v>
      </c>
    </row>
    <row r="61" spans="2:17" ht="14.25" thickBot="1">
      <c r="B61" s="1387" t="s">
        <v>930</v>
      </c>
      <c r="C61" s="1533"/>
      <c r="D61" s="1388"/>
      <c r="E61" s="1388"/>
      <c r="F61" s="1388"/>
      <c r="G61" s="1388"/>
      <c r="H61" s="1388"/>
      <c r="I61" s="1388"/>
      <c r="J61" s="1388"/>
      <c r="K61" s="1388"/>
      <c r="L61" s="1389"/>
      <c r="O61" s="502">
        <f>IF(L19="true",O60,0)</f>
        <v>0</v>
      </c>
      <c r="Q61" s="846">
        <f>IF(L19="true",MIN(O60*(O59/O58),0.2),0)</f>
        <v>0</v>
      </c>
    </row>
    <row r="62" spans="2:19" ht="14.25" thickBot="1">
      <c r="B62" s="1748" t="s">
        <v>45</v>
      </c>
      <c r="C62" s="1749"/>
      <c r="D62" s="1749"/>
      <c r="E62" s="1749"/>
      <c r="F62" s="1749"/>
      <c r="G62" s="1749"/>
      <c r="H62" s="1749"/>
      <c r="I62" s="1749"/>
      <c r="J62" s="1749"/>
      <c r="K62" s="1749"/>
      <c r="L62" s="1750"/>
      <c r="N62" s="1237" t="s">
        <v>364</v>
      </c>
      <c r="O62" s="1238"/>
      <c r="P62" s="1238"/>
      <c r="Q62" s="1239"/>
      <c r="R62" s="465" t="s">
        <v>310</v>
      </c>
      <c r="S62" s="462">
        <v>0.65</v>
      </c>
    </row>
    <row r="63" spans="2:19" ht="14.25" thickBot="1">
      <c r="B63" s="1472" t="s">
        <v>1151</v>
      </c>
      <c r="C63" s="1473"/>
      <c r="D63" s="1473"/>
      <c r="E63" s="1473"/>
      <c r="F63" s="1473"/>
      <c r="G63" s="1473"/>
      <c r="H63" s="1473"/>
      <c r="I63" s="1473"/>
      <c r="J63" s="1473"/>
      <c r="K63" s="1473"/>
      <c r="L63" s="1474"/>
      <c r="N63" s="1342" t="s">
        <v>1406</v>
      </c>
      <c r="O63" s="1343"/>
      <c r="P63" s="463">
        <v>1</v>
      </c>
      <c r="Q63" s="1181" t="s">
        <v>1334</v>
      </c>
      <c r="R63" s="1182"/>
      <c r="S63" s="313">
        <v>1</v>
      </c>
    </row>
    <row r="64" spans="14:19" ht="13.5">
      <c r="N64" s="1227" t="s">
        <v>304</v>
      </c>
      <c r="O64" s="76" t="s">
        <v>257</v>
      </c>
      <c r="P64" s="521">
        <f>MIN(INT(($R$4*P63)*(1+$B$38+$E$38+$B$56+$O$61)),ReadMe!$M$99)</f>
        <v>8188</v>
      </c>
      <c r="Q64" s="1234" t="s">
        <v>1358</v>
      </c>
      <c r="R64" s="186" t="s">
        <v>257</v>
      </c>
      <c r="S64" s="155">
        <f>MIN(INT(P64*$E$45),ReadMe!$M$99)</f>
        <v>9825</v>
      </c>
    </row>
    <row r="65" spans="14:19" ht="13.5">
      <c r="N65" s="1228"/>
      <c r="O65" s="43" t="s">
        <v>258</v>
      </c>
      <c r="P65" s="522">
        <f>INT((P64+P66)/2)</f>
        <v>8910</v>
      </c>
      <c r="Q65" s="1235"/>
      <c r="R65" s="79" t="s">
        <v>258</v>
      </c>
      <c r="S65" s="156">
        <f>MIN(INT(P65*(($E$41+$F$41)/2)),ReadMe!$M$99)</f>
        <v>12028</v>
      </c>
    </row>
    <row r="66" spans="14:19" ht="14.25" thickBot="1">
      <c r="N66" s="1229"/>
      <c r="O66" s="15" t="s">
        <v>259</v>
      </c>
      <c r="P66" s="523">
        <f>MIN(INT(($T$4*P63)*(1+$B$38+$E$38+$B$56+$O$61)),ReadMe!$M$99)</f>
        <v>9633</v>
      </c>
      <c r="Q66" s="1236"/>
      <c r="R66" s="86" t="s">
        <v>259</v>
      </c>
      <c r="S66" s="157">
        <f>MIN(INT(P66*$F$45),ReadMe!$M$99)</f>
        <v>14449</v>
      </c>
    </row>
    <row r="67" spans="14:19" ht="14.25" thickBot="1">
      <c r="N67" s="1434" t="s">
        <v>323</v>
      </c>
      <c r="O67" s="1435"/>
      <c r="P67" s="1435"/>
      <c r="Q67" s="1756">
        <f>INT(P65*(1-$G$45)+S65*$G$45)</f>
        <v>9065</v>
      </c>
      <c r="R67" s="1178"/>
      <c r="S67" s="1179"/>
    </row>
    <row r="68" spans="14:19" ht="14.25" thickBot="1">
      <c r="N68" s="1302" t="s">
        <v>726</v>
      </c>
      <c r="O68" s="1303"/>
      <c r="P68" s="1304"/>
      <c r="Q68" s="1186">
        <f>Q67*S63</f>
        <v>9065</v>
      </c>
      <c r="R68" s="1178"/>
      <c r="S68" s="1179"/>
    </row>
  </sheetData>
  <sheetProtection/>
  <protectedRanges>
    <protectedRange sqref="D49:D50 D52" name="範囲1_1_1"/>
  </protectedRanges>
  <mergeCells count="100">
    <mergeCell ref="B59:L59"/>
    <mergeCell ref="N36:S36"/>
    <mergeCell ref="N47:Q47"/>
    <mergeCell ref="N62:Q62"/>
    <mergeCell ref="Q42:Q44"/>
    <mergeCell ref="B61:L61"/>
    <mergeCell ref="E50:F50"/>
    <mergeCell ref="I41:K41"/>
    <mergeCell ref="B40:D40"/>
    <mergeCell ref="I48:K48"/>
    <mergeCell ref="N63:O63"/>
    <mergeCell ref="P49:Q49"/>
    <mergeCell ref="N54:P54"/>
    <mergeCell ref="Q63:R63"/>
    <mergeCell ref="N56:Q56"/>
    <mergeCell ref="Q13:S14"/>
    <mergeCell ref="N10:Q10"/>
    <mergeCell ref="I55:J55"/>
    <mergeCell ref="N24:P24"/>
    <mergeCell ref="N34:P34"/>
    <mergeCell ref="Q34:S34"/>
    <mergeCell ref="R33:S33"/>
    <mergeCell ref="N28:N30"/>
    <mergeCell ref="Q38:Q40"/>
    <mergeCell ref="S47:T47"/>
    <mergeCell ref="F1:P1"/>
    <mergeCell ref="N2:P2"/>
    <mergeCell ref="E52:F52"/>
    <mergeCell ref="B52:C52"/>
    <mergeCell ref="N38:N40"/>
    <mergeCell ref="N6:R6"/>
    <mergeCell ref="N16:Q16"/>
    <mergeCell ref="R2:T2"/>
    <mergeCell ref="Q12:S12"/>
    <mergeCell ref="N12:N14"/>
    <mergeCell ref="Q24:S24"/>
    <mergeCell ref="B60:L60"/>
    <mergeCell ref="B58:L58"/>
    <mergeCell ref="B34:K34"/>
    <mergeCell ref="B51:C51"/>
    <mergeCell ref="I52:K52"/>
    <mergeCell ref="I53:J53"/>
    <mergeCell ref="B42:C42"/>
    <mergeCell ref="I54:J54"/>
    <mergeCell ref="B38:D38"/>
    <mergeCell ref="B63:L63"/>
    <mergeCell ref="B62:L62"/>
    <mergeCell ref="N41:P41"/>
    <mergeCell ref="E46:G46"/>
    <mergeCell ref="B45:D45"/>
    <mergeCell ref="I46:J46"/>
    <mergeCell ref="B54:D54"/>
    <mergeCell ref="B55:D55"/>
    <mergeCell ref="B56:D56"/>
    <mergeCell ref="B50:C50"/>
    <mergeCell ref="B49:C49"/>
    <mergeCell ref="E49:F49"/>
    <mergeCell ref="B46:D46"/>
    <mergeCell ref="B41:D41"/>
    <mergeCell ref="B44:D44"/>
    <mergeCell ref="E51:F51"/>
    <mergeCell ref="Q41:S41"/>
    <mergeCell ref="I40:K40"/>
    <mergeCell ref="I44:J44"/>
    <mergeCell ref="N45:P45"/>
    <mergeCell ref="Q45:S45"/>
    <mergeCell ref="R31:S31"/>
    <mergeCell ref="N26:S26"/>
    <mergeCell ref="N31:P33"/>
    <mergeCell ref="R32:S32"/>
    <mergeCell ref="Q28:Q30"/>
    <mergeCell ref="B35:D35"/>
    <mergeCell ref="E35:F35"/>
    <mergeCell ref="B36:D36"/>
    <mergeCell ref="Q68:S68"/>
    <mergeCell ref="N64:N66"/>
    <mergeCell ref="N67:P67"/>
    <mergeCell ref="Q67:S67"/>
    <mergeCell ref="N68:P68"/>
    <mergeCell ref="Q64:Q66"/>
    <mergeCell ref="E36:F36"/>
    <mergeCell ref="B37:D37"/>
    <mergeCell ref="E37:F37"/>
    <mergeCell ref="B43:C43"/>
    <mergeCell ref="E38:F38"/>
    <mergeCell ref="B2:C2"/>
    <mergeCell ref="B31:C31"/>
    <mergeCell ref="B4:D4"/>
    <mergeCell ref="B29:C29"/>
    <mergeCell ref="B30:C30"/>
    <mergeCell ref="Q18:Q20"/>
    <mergeCell ref="N21:P23"/>
    <mergeCell ref="R21:S21"/>
    <mergeCell ref="R23:S23"/>
    <mergeCell ref="N18:N20"/>
    <mergeCell ref="R22:S22"/>
    <mergeCell ref="T23:V23"/>
    <mergeCell ref="T24:V24"/>
    <mergeCell ref="T33:V33"/>
    <mergeCell ref="T34:V34"/>
  </mergeCells>
  <printOptions/>
  <pageMargins left="0.75" right="0.75" top="1" bottom="1" header="0.512" footer="0.512"/>
  <pageSetup horizontalDpi="300" verticalDpi="300" orientation="portrait" paperSize="9" r:id="rId2"/>
  <ignoredErrors>
    <ignoredError sqref="G32:J32" formulaRange="1"/>
  </ignoredErrors>
  <legacyDrawing r:id="rId1"/>
</worksheet>
</file>

<file path=xl/worksheets/sheet19.xml><?xml version="1.0" encoding="utf-8"?>
<worksheet xmlns="http://schemas.openxmlformats.org/spreadsheetml/2006/main" xmlns:r="http://schemas.openxmlformats.org/officeDocument/2006/relationships">
  <dimension ref="A1:B25"/>
  <sheetViews>
    <sheetView tabSelected="1" workbookViewId="0" topLeftCell="A1">
      <selection activeCell="F29" sqref="F29"/>
    </sheetView>
  </sheetViews>
  <sheetFormatPr defaultColWidth="9.00390625" defaultRowHeight="13.5"/>
  <cols>
    <col min="2" max="2" width="10.50390625" style="0" bestFit="1" customWidth="1"/>
  </cols>
  <sheetData>
    <row r="1" spans="1:2" ht="13.5">
      <c r="A1" s="1126" t="s">
        <v>617</v>
      </c>
      <c r="B1">
        <v>20863093</v>
      </c>
    </row>
    <row r="2" spans="1:2" ht="13.5">
      <c r="A2" s="1126" t="s">
        <v>616</v>
      </c>
      <c r="B2">
        <v>20480530</v>
      </c>
    </row>
    <row r="3" spans="1:2" ht="13.5">
      <c r="A3" s="1126" t="s">
        <v>618</v>
      </c>
      <c r="B3">
        <v>19994313</v>
      </c>
    </row>
    <row r="4" spans="1:2" ht="13.5">
      <c r="A4" s="1126" t="s">
        <v>619</v>
      </c>
      <c r="B4">
        <v>17834280</v>
      </c>
    </row>
    <row r="5" spans="1:2" ht="13.5">
      <c r="A5" t="s">
        <v>621</v>
      </c>
      <c r="B5">
        <v>17280150</v>
      </c>
    </row>
    <row r="6" spans="1:2" ht="13.5">
      <c r="A6" t="s">
        <v>620</v>
      </c>
      <c r="B6">
        <v>16632680</v>
      </c>
    </row>
    <row r="7" spans="1:2" ht="13.5">
      <c r="A7" t="s">
        <v>595</v>
      </c>
      <c r="B7">
        <v>16319938</v>
      </c>
    </row>
    <row r="8" spans="1:2" ht="13.5">
      <c r="A8" s="1126" t="s">
        <v>596</v>
      </c>
      <c r="B8">
        <v>15910989</v>
      </c>
    </row>
    <row r="9" spans="1:2" ht="13.5">
      <c r="A9" t="s">
        <v>597</v>
      </c>
      <c r="B9">
        <v>15303487</v>
      </c>
    </row>
    <row r="10" spans="1:2" ht="13.5">
      <c r="A10" t="s">
        <v>622</v>
      </c>
      <c r="B10">
        <v>15247121</v>
      </c>
    </row>
    <row r="11" spans="1:2" ht="13.5">
      <c r="A11" t="s">
        <v>598</v>
      </c>
      <c r="B11">
        <v>15028924</v>
      </c>
    </row>
    <row r="12" spans="1:2" ht="13.5">
      <c r="A12" t="s">
        <v>602</v>
      </c>
      <c r="B12">
        <v>15019547</v>
      </c>
    </row>
    <row r="13" spans="1:2" ht="13.5">
      <c r="A13" t="s">
        <v>623</v>
      </c>
      <c r="B13">
        <v>14807061</v>
      </c>
    </row>
    <row r="14" spans="1:2" ht="13.5">
      <c r="A14" t="s">
        <v>599</v>
      </c>
      <c r="B14">
        <v>14376881</v>
      </c>
    </row>
    <row r="15" spans="1:2" ht="13.5">
      <c r="A15" t="s">
        <v>624</v>
      </c>
      <c r="B15">
        <v>14307702</v>
      </c>
    </row>
    <row r="16" spans="1:2" ht="13.5">
      <c r="A16" t="s">
        <v>600</v>
      </c>
      <c r="B16">
        <v>14066190</v>
      </c>
    </row>
    <row r="17" spans="1:2" ht="13.5">
      <c r="A17" t="s">
        <v>601</v>
      </c>
      <c r="B17">
        <v>13862500</v>
      </c>
    </row>
    <row r="18" spans="1:2" ht="13.5">
      <c r="A18" t="s">
        <v>626</v>
      </c>
      <c r="B18">
        <v>13080704</v>
      </c>
    </row>
    <row r="19" spans="1:2" ht="13.5">
      <c r="A19" t="s">
        <v>625</v>
      </c>
      <c r="B19" s="229">
        <v>11889330</v>
      </c>
    </row>
    <row r="20" spans="1:2" ht="13.5">
      <c r="A20" s="1126" t="s">
        <v>628</v>
      </c>
      <c r="B20">
        <v>11628826</v>
      </c>
    </row>
    <row r="21" spans="1:2" ht="13.5">
      <c r="A21" t="s">
        <v>603</v>
      </c>
      <c r="B21">
        <v>11391161</v>
      </c>
    </row>
    <row r="22" spans="1:2" ht="13.5">
      <c r="A22" t="s">
        <v>627</v>
      </c>
      <c r="B22">
        <v>11345024</v>
      </c>
    </row>
    <row r="23" spans="1:2" ht="13.5">
      <c r="A23" t="s">
        <v>1003</v>
      </c>
      <c r="B23">
        <v>10693147</v>
      </c>
    </row>
    <row r="24" spans="1:2" ht="13.5">
      <c r="A24" t="s">
        <v>604</v>
      </c>
      <c r="B24">
        <v>9446681</v>
      </c>
    </row>
    <row r="25" spans="1:2" ht="13.5">
      <c r="A25" t="s">
        <v>629</v>
      </c>
      <c r="B25">
        <v>7397559</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AC77"/>
  <sheetViews>
    <sheetView workbookViewId="0" topLeftCell="A16">
      <selection activeCell="G50" sqref="G50"/>
    </sheetView>
  </sheetViews>
  <sheetFormatPr defaultColWidth="9.00390625" defaultRowHeight="13.5"/>
  <cols>
    <col min="1" max="1" width="2.625" style="0" customWidth="1"/>
    <col min="2" max="11" width="5.625" style="0" customWidth="1"/>
    <col min="12" max="13" width="2.625" style="0" customWidth="1"/>
    <col min="18" max="18" width="9.50390625" style="0" bestFit="1" customWidth="1"/>
    <col min="22" max="22" width="2.125" style="0" customWidth="1"/>
    <col min="23" max="29" width="10.625" style="0" customWidth="1"/>
  </cols>
  <sheetData>
    <row r="1" spans="6:16" ht="24.75" thickBot="1">
      <c r="F1" s="1223" t="str">
        <f>IF(B4="片手剣","パラディン",IF(B4="両手剣","パラディン",IF(B4="片手鈍器","パラディン",IF(B4="両手鈍器","パラディン","！武器の種類の入力エラー！"))))</f>
        <v>パラディン</v>
      </c>
      <c r="G1" s="1223"/>
      <c r="H1" s="1223"/>
      <c r="I1" s="1223"/>
      <c r="J1" s="1223"/>
      <c r="K1" s="1223"/>
      <c r="L1" s="1223"/>
      <c r="M1" s="1223"/>
      <c r="N1" s="1223"/>
      <c r="O1" s="1223"/>
      <c r="P1" s="1223"/>
    </row>
    <row r="2" spans="2:27" ht="14.25" thickBot="1">
      <c r="B2" s="1153" t="s">
        <v>238</v>
      </c>
      <c r="C2" s="1154"/>
      <c r="D2" s="2">
        <v>150</v>
      </c>
      <c r="E2" s="1"/>
      <c r="F2" s="3" t="s">
        <v>325</v>
      </c>
      <c r="G2" s="3" t="s">
        <v>239</v>
      </c>
      <c r="H2" s="3" t="s">
        <v>240</v>
      </c>
      <c r="I2" s="3" t="s">
        <v>84</v>
      </c>
      <c r="J2" s="3" t="s">
        <v>85</v>
      </c>
      <c r="K2" s="25" t="s">
        <v>749</v>
      </c>
      <c r="N2" s="1224" t="str">
        <f>IF(B4="片手剣","攻撃力",IF(B4="両手剣","攻撃力",IF(B4="片手鈍器","攻撃力",IF(B4="両手鈍器","攻撃力","！武器の種類の入力エラー！"))))</f>
        <v>攻撃力</v>
      </c>
      <c r="O2" s="1225"/>
      <c r="P2" s="1226"/>
      <c r="R2" s="1149" t="s">
        <v>737</v>
      </c>
      <c r="S2" s="1144"/>
      <c r="T2" s="1140"/>
      <c r="W2" s="1359" t="s">
        <v>182</v>
      </c>
      <c r="X2" s="1360"/>
      <c r="Y2" s="1360"/>
      <c r="Z2" s="1360"/>
      <c r="AA2" s="1361"/>
    </row>
    <row r="3" spans="2:27" ht="14.25" thickBot="1">
      <c r="B3" s="7" t="s">
        <v>241</v>
      </c>
      <c r="C3" s="536"/>
      <c r="D3" s="6">
        <f>((D2-1)*5+IF(D2&gt;=120,35,IF(D2&gt;=70,30,25)))-(G3+H3+I3+J3)</f>
        <v>0</v>
      </c>
      <c r="E3" s="7" t="s">
        <v>242</v>
      </c>
      <c r="F3" s="8"/>
      <c r="G3" s="8">
        <v>768</v>
      </c>
      <c r="H3" s="8">
        <v>4</v>
      </c>
      <c r="I3" s="8">
        <v>4</v>
      </c>
      <c r="J3" s="8">
        <v>4</v>
      </c>
      <c r="K3" s="9"/>
      <c r="N3" s="10" t="s">
        <v>270</v>
      </c>
      <c r="O3" s="11" t="s">
        <v>271</v>
      </c>
      <c r="P3" s="12" t="s">
        <v>272</v>
      </c>
      <c r="R3" s="1" t="s">
        <v>270</v>
      </c>
      <c r="S3" s="3" t="s">
        <v>271</v>
      </c>
      <c r="T3" s="4" t="s">
        <v>272</v>
      </c>
      <c r="W3" s="421"/>
      <c r="X3" s="419" t="s">
        <v>540</v>
      </c>
      <c r="Y3" s="428" t="s">
        <v>164</v>
      </c>
      <c r="Z3" s="794" t="s">
        <v>165</v>
      </c>
      <c r="AA3" s="420" t="s">
        <v>167</v>
      </c>
    </row>
    <row r="4" spans="2:27" ht="14.25" thickBot="1">
      <c r="B4" s="1378" t="s">
        <v>772</v>
      </c>
      <c r="C4" s="1379"/>
      <c r="D4" s="1379"/>
      <c r="E4" s="7" t="s">
        <v>243</v>
      </c>
      <c r="F4" s="8">
        <v>115</v>
      </c>
      <c r="G4" s="8">
        <v>11</v>
      </c>
      <c r="H4" s="8"/>
      <c r="I4" s="8"/>
      <c r="J4" s="8"/>
      <c r="K4" s="9"/>
      <c r="N4" s="14">
        <f>P4*D10</f>
        <v>9725.051999999998</v>
      </c>
      <c r="O4" s="15">
        <f>(P4+N4)/2</f>
        <v>10035.426</v>
      </c>
      <c r="P4" s="16">
        <f>$Q$4*($F$29+INT(($F$29*($E$32+$K$52+$K$43-1))))/100</f>
        <v>10345.8</v>
      </c>
      <c r="Q4" s="403">
        <f>IF(OR($B$4="片手剣",$B$4="片手鈍器"),1.2,1.32)*(4*$G$29+$H$29)</f>
        <v>4812</v>
      </c>
      <c r="R4" s="14">
        <f>N4*$G$48*(1-$G$45/100)</f>
        <v>8558.045759999999</v>
      </c>
      <c r="S4" s="15">
        <f>O4*$G$48*(1-$G$45/100)</f>
        <v>8831.17488</v>
      </c>
      <c r="T4" s="16">
        <f>P4*$G$48*(1-$G$45/100)</f>
        <v>9104.304</v>
      </c>
      <c r="W4" s="422" t="s">
        <v>1199</v>
      </c>
      <c r="X4" s="429">
        <f>X5*1.5</f>
        <v>1.875</v>
      </c>
      <c r="Y4" s="430">
        <f>Y5*1.5</f>
        <v>1.7999999999999998</v>
      </c>
      <c r="Z4" s="795">
        <f>Z5*1.5</f>
        <v>1.9500000000000002</v>
      </c>
      <c r="AA4" s="431">
        <f>AA5*1.5</f>
        <v>2.055</v>
      </c>
    </row>
    <row r="5" spans="1:27" ht="14.25" thickBot="1">
      <c r="A5" s="648">
        <f>MAX($D$5-$K$39,4)</f>
        <v>4</v>
      </c>
      <c r="B5" s="163" t="s">
        <v>244</v>
      </c>
      <c r="C5" s="397"/>
      <c r="D5" s="164">
        <v>4</v>
      </c>
      <c r="E5" s="7" t="s">
        <v>245</v>
      </c>
      <c r="F5" s="8">
        <v>18</v>
      </c>
      <c r="G5" s="8">
        <v>9</v>
      </c>
      <c r="H5" s="8"/>
      <c r="I5" s="8"/>
      <c r="J5" s="8"/>
      <c r="K5" s="9"/>
      <c r="N5" s="21"/>
      <c r="O5" s="21"/>
      <c r="P5" s="21"/>
      <c r="Q5" s="403"/>
      <c r="R5" s="21"/>
      <c r="S5" s="21"/>
      <c r="T5" s="21"/>
      <c r="W5" s="423" t="s">
        <v>1200</v>
      </c>
      <c r="X5" s="432">
        <v>1.25</v>
      </c>
      <c r="Y5" s="433">
        <v>1.2</v>
      </c>
      <c r="Z5" s="796">
        <v>1.3</v>
      </c>
      <c r="AA5" s="434">
        <f>(115+D7)/100</f>
        <v>1.37</v>
      </c>
    </row>
    <row r="6" spans="2:27" ht="14.25" thickBot="1">
      <c r="B6" s="1" t="s">
        <v>423</v>
      </c>
      <c r="C6" s="3"/>
      <c r="D6" s="2">
        <v>32</v>
      </c>
      <c r="E6" s="7" t="s">
        <v>246</v>
      </c>
      <c r="F6" s="8"/>
      <c r="G6" s="8">
        <v>10</v>
      </c>
      <c r="H6" s="8">
        <v>16</v>
      </c>
      <c r="I6" s="8">
        <v>10</v>
      </c>
      <c r="J6" s="8">
        <v>10</v>
      </c>
      <c r="K6" s="9">
        <v>22</v>
      </c>
      <c r="N6" s="1" t="s">
        <v>1028</v>
      </c>
      <c r="O6" s="144"/>
      <c r="P6" s="1340" t="str">
        <f>IF($D$16=1,"ディバインチャージ",IF($D$16=2,"ファイアチャージ",IF($D$16=3,"アイスチャージ",IF($D$16=4,"サンダーチャージ",""))))</f>
        <v>ディバインチャージ</v>
      </c>
      <c r="Q6" s="1341"/>
      <c r="R6" s="673" t="str">
        <f>IF(AND($L$17="true",$D$16=4),"のみ",IF($D$16=5,"チャージなし(無属性)",IF($L$17="true","＋サンダーチャージ","のみ")))</f>
        <v>＋サンダーチャージ</v>
      </c>
      <c r="S6" s="219"/>
      <c r="T6" s="624" t="s">
        <v>1196</v>
      </c>
      <c r="U6" s="1349">
        <f>HLOOKUP($D$16,$X$20:$AB$28,$D$15)</f>
        <v>1.495</v>
      </c>
      <c r="V6" s="833"/>
      <c r="W6" s="424" t="s">
        <v>1201</v>
      </c>
      <c r="X6" s="435">
        <f>X5*0.5</f>
        <v>0.625</v>
      </c>
      <c r="Y6" s="436">
        <f>Y5*0.5</f>
        <v>0.6</v>
      </c>
      <c r="Z6" s="797">
        <f>Z5*0.5</f>
        <v>0.65</v>
      </c>
      <c r="AA6" s="437">
        <f>AA5*0.5</f>
        <v>0.685</v>
      </c>
    </row>
    <row r="7" spans="2:27" ht="14.25" thickBot="1">
      <c r="B7" s="7" t="s">
        <v>276</v>
      </c>
      <c r="C7" s="43"/>
      <c r="D7" s="576">
        <v>22</v>
      </c>
      <c r="E7" s="7" t="s">
        <v>247</v>
      </c>
      <c r="F7" s="8">
        <v>5</v>
      </c>
      <c r="G7" s="8"/>
      <c r="H7" s="8"/>
      <c r="I7" s="8"/>
      <c r="J7" s="8"/>
      <c r="K7" s="9"/>
      <c r="N7" s="14" t="s">
        <v>1195</v>
      </c>
      <c r="O7" s="46"/>
      <c r="P7" s="831" t="str">
        <f>IF($D$16=1,"聖",IF($D$16=2,"火",IF($D$16=3,"氷",IF($D$16=4,"雷",""))))</f>
        <v>聖</v>
      </c>
      <c r="Q7" s="832" t="str">
        <f>IF($D$16=5,"",IF($L$23="true","弱点","通常"))</f>
        <v>通常</v>
      </c>
      <c r="R7" s="831" t="str">
        <f>IF(OR(D16=5,D16=4),"",IF(L17="true","雷",""))</f>
        <v>雷</v>
      </c>
      <c r="S7" s="682" t="str">
        <f>IF(OR($D$16=4,$D$16=5),"",IF($L$17="true",IF($L$24="true","弱点",IF($L$25="true","耐性","通常")),""))</f>
        <v>通常</v>
      </c>
      <c r="T7" s="792" t="s">
        <v>1197</v>
      </c>
      <c r="U7" s="1350"/>
      <c r="W7" s="425"/>
      <c r="X7" s="438"/>
      <c r="Y7" s="439" t="s">
        <v>176</v>
      </c>
      <c r="Z7" s="798" t="s">
        <v>175</v>
      </c>
      <c r="AA7" s="440" t="s">
        <v>174</v>
      </c>
    </row>
    <row r="8" spans="2:27" ht="14.25" customHeight="1" thickBot="1">
      <c r="B8" s="5" t="s">
        <v>965</v>
      </c>
      <c r="C8" s="68"/>
      <c r="D8" s="487">
        <v>3</v>
      </c>
      <c r="E8" s="7" t="s">
        <v>248</v>
      </c>
      <c r="F8" s="8">
        <v>2</v>
      </c>
      <c r="G8" s="8"/>
      <c r="H8" s="8">
        <v>2</v>
      </c>
      <c r="I8" s="8"/>
      <c r="J8" s="8"/>
      <c r="K8" s="9">
        <v>7</v>
      </c>
      <c r="N8" s="402"/>
      <c r="O8" s="402"/>
      <c r="S8" s="402"/>
      <c r="V8" s="63"/>
      <c r="W8" s="422" t="s">
        <v>1202</v>
      </c>
      <c r="X8" s="441" t="s">
        <v>540</v>
      </c>
      <c r="Y8" s="445">
        <f>Y4+$X$5/10*1.25</f>
        <v>1.9562499999999998</v>
      </c>
      <c r="Z8" s="799">
        <f>Z4+$X$5/10*1.25</f>
        <v>2.10625</v>
      </c>
      <c r="AA8" s="446">
        <f>AA4+$X$5/10*1.25</f>
        <v>2.21125</v>
      </c>
    </row>
    <row r="9" spans="2:27" ht="14.25" thickBot="1">
      <c r="B9" s="36" t="s">
        <v>1000</v>
      </c>
      <c r="C9" s="605"/>
      <c r="D9" s="2">
        <v>12</v>
      </c>
      <c r="E9" s="7" t="s">
        <v>249</v>
      </c>
      <c r="F9" s="8"/>
      <c r="G9" s="8">
        <v>7</v>
      </c>
      <c r="H9" s="8">
        <v>7</v>
      </c>
      <c r="I9" s="8">
        <v>7</v>
      </c>
      <c r="J9" s="8">
        <v>7</v>
      </c>
      <c r="K9" s="9"/>
      <c r="N9" s="1158" t="s">
        <v>83</v>
      </c>
      <c r="O9" s="1159"/>
      <c r="P9" s="1159"/>
      <c r="Q9" s="1159"/>
      <c r="R9" s="1376"/>
      <c r="S9" s="1376"/>
      <c r="T9" s="163" t="s">
        <v>267</v>
      </c>
      <c r="U9" s="174">
        <f>IF(A5=4,94,IF(A5=5,83,IF(A5=6,79,IF(A5=7,73,IF(A5=8,70,0)))))</f>
        <v>94</v>
      </c>
      <c r="V9" s="64"/>
      <c r="W9" s="423" t="s">
        <v>1203</v>
      </c>
      <c r="X9" s="441" t="s">
        <v>168</v>
      </c>
      <c r="Y9" s="447">
        <f>Y5+$X$5/10*1.5</f>
        <v>1.3875</v>
      </c>
      <c r="Z9" s="800">
        <f>Z5+$X$5/10*1.5</f>
        <v>1.4875</v>
      </c>
      <c r="AA9" s="448">
        <f>AA5+$X$5/10*1.5</f>
        <v>1.5575</v>
      </c>
    </row>
    <row r="10" spans="2:27" ht="14.25" thickBot="1">
      <c r="B10" s="53" t="s">
        <v>310</v>
      </c>
      <c r="C10" s="15"/>
      <c r="D10" s="81">
        <f>(50+2*O20)/100+0.2</f>
        <v>0.94</v>
      </c>
      <c r="E10" s="7" t="s">
        <v>250</v>
      </c>
      <c r="F10" s="8"/>
      <c r="G10" s="8"/>
      <c r="H10" s="8">
        <v>6</v>
      </c>
      <c r="I10" s="8"/>
      <c r="J10" s="8"/>
      <c r="K10" s="9"/>
      <c r="N10" s="23" t="s">
        <v>238</v>
      </c>
      <c r="O10" s="82">
        <f>D6</f>
        <v>32</v>
      </c>
      <c r="P10" s="1181" t="s">
        <v>1406</v>
      </c>
      <c r="Q10" s="1182"/>
      <c r="R10" s="679">
        <f>(225+2*O10)/100</f>
        <v>2.89</v>
      </c>
      <c r="S10" s="1352" t="s">
        <v>558</v>
      </c>
      <c r="T10" s="1353"/>
      <c r="U10" s="834">
        <f>R10*U6</f>
        <v>4.320550000000001</v>
      </c>
      <c r="W10" s="424" t="s">
        <v>1204</v>
      </c>
      <c r="X10" s="441" t="s">
        <v>169</v>
      </c>
      <c r="Y10" s="449">
        <f>Y5*0.5+$X$5/10*1.25</f>
        <v>0.75625</v>
      </c>
      <c r="Z10" s="801">
        <f>Z5*0.5+$X$5/10*1.25</f>
        <v>0.80625</v>
      </c>
      <c r="AA10" s="450">
        <f>AA5*0.5+$X$5/10*1.25</f>
        <v>0.84125</v>
      </c>
    </row>
    <row r="11" spans="2:27" ht="14.25" thickBot="1">
      <c r="B11" s="22"/>
      <c r="C11" s="21"/>
      <c r="D11" s="391"/>
      <c r="E11" s="7" t="s">
        <v>698</v>
      </c>
      <c r="F11" s="8"/>
      <c r="G11" s="8"/>
      <c r="H11" s="8"/>
      <c r="I11" s="8"/>
      <c r="J11" s="8"/>
      <c r="K11" s="9"/>
      <c r="N11" s="17" t="s">
        <v>65</v>
      </c>
      <c r="O11" s="679">
        <f>(20+O10)/100</f>
        <v>0.52</v>
      </c>
      <c r="P11" s="1357" t="s">
        <v>295</v>
      </c>
      <c r="Q11" s="1358"/>
      <c r="R11" s="760">
        <f>(5+ROUNDUP(O10/2,0))/100</f>
        <v>0.21</v>
      </c>
      <c r="S11" s="1305" t="s">
        <v>1198</v>
      </c>
      <c r="T11" s="1306"/>
      <c r="U11" s="836">
        <f>(5+ROUNDUP(O10/2,0))/100</f>
        <v>0.21</v>
      </c>
      <c r="W11" s="426" t="s">
        <v>1202</v>
      </c>
      <c r="X11" s="442" t="s">
        <v>540</v>
      </c>
      <c r="Y11" s="451">
        <f>Y5*1.5+$X$5/10</f>
        <v>1.9249999999999998</v>
      </c>
      <c r="Z11" s="802">
        <f>Z5*1.5+$X$5/10</f>
        <v>2.075</v>
      </c>
      <c r="AA11" s="452">
        <f>AA5*1.5+$X$5/10</f>
        <v>2.18</v>
      </c>
    </row>
    <row r="12" spans="2:27" ht="13.5" customHeight="1">
      <c r="B12" s="22"/>
      <c r="C12" s="21"/>
      <c r="D12" s="21"/>
      <c r="E12" s="7" t="s">
        <v>587</v>
      </c>
      <c r="F12" s="8"/>
      <c r="G12" s="8">
        <v>20</v>
      </c>
      <c r="H12" s="8">
        <v>3</v>
      </c>
      <c r="I12" s="8"/>
      <c r="J12" s="8"/>
      <c r="K12" s="9">
        <v>5</v>
      </c>
      <c r="L12" s="21"/>
      <c r="M12" s="21"/>
      <c r="N12" s="1326" t="s">
        <v>1065</v>
      </c>
      <c r="O12" s="822" t="s">
        <v>739</v>
      </c>
      <c r="P12" s="823">
        <f>MIN(INT(($N$4*$G$49*U10)*(1+$B$34+$E$34+$B$52+$K$35)),ReadMe!$M$99)</f>
        <v>36975</v>
      </c>
      <c r="Q12" s="1329" t="s">
        <v>740</v>
      </c>
      <c r="R12" s="824" t="s">
        <v>739</v>
      </c>
      <c r="S12" s="835">
        <f>MIN(INT(P12*($E$41+$U$11)),ReadMe!$M$99)</f>
        <v>52134</v>
      </c>
      <c r="T12" s="1356" t="s">
        <v>1066</v>
      </c>
      <c r="U12" s="1364">
        <f>INT(P13*(1-($G$41+$O$11))+S13*($G$41+$O$11))</f>
        <v>48050</v>
      </c>
      <c r="W12" s="423" t="s">
        <v>1203</v>
      </c>
      <c r="X12" s="441" t="s">
        <v>170</v>
      </c>
      <c r="Y12" s="447">
        <f>Y5+$X$5/10</f>
        <v>1.325</v>
      </c>
      <c r="Z12" s="800">
        <f>Z5+$X$5/10</f>
        <v>1.425</v>
      </c>
      <c r="AA12" s="448">
        <f>AA5+$X$5/10</f>
        <v>1.495</v>
      </c>
    </row>
    <row r="13" spans="2:27" ht="14.25" thickBot="1">
      <c r="B13" s="22"/>
      <c r="C13" s="21"/>
      <c r="D13" s="21"/>
      <c r="E13" s="7" t="s">
        <v>697</v>
      </c>
      <c r="F13" s="8"/>
      <c r="G13" s="8">
        <v>14</v>
      </c>
      <c r="H13" s="8">
        <v>5</v>
      </c>
      <c r="I13" s="8"/>
      <c r="J13" s="8"/>
      <c r="K13" s="9">
        <v>5</v>
      </c>
      <c r="N13" s="1327"/>
      <c r="O13" s="817" t="s">
        <v>742</v>
      </c>
      <c r="P13" s="358">
        <f>INT((P12+P14)/2)</f>
        <v>38155</v>
      </c>
      <c r="Q13" s="1330"/>
      <c r="R13" s="818" t="s">
        <v>742</v>
      </c>
      <c r="S13" s="156">
        <f>MIN(INT(P13*(($E$41+U11+$F$41)/2)),ReadMe!$M$99)</f>
        <v>55515</v>
      </c>
      <c r="T13" s="1167"/>
      <c r="U13" s="1365"/>
      <c r="W13" s="427" t="s">
        <v>1204</v>
      </c>
      <c r="X13" s="443" t="s">
        <v>171</v>
      </c>
      <c r="Y13" s="453">
        <f>Y5*0.5+$X$5/10</f>
        <v>0.725</v>
      </c>
      <c r="Z13" s="803">
        <f>Z5*0.5+$X$5/10</f>
        <v>0.775</v>
      </c>
      <c r="AA13" s="454">
        <f>AA5*0.5+$X$5/10</f>
        <v>0.81</v>
      </c>
    </row>
    <row r="14" spans="2:27" ht="14.25" thickBot="1">
      <c r="B14" s="22"/>
      <c r="C14" s="21"/>
      <c r="D14" s="21"/>
      <c r="E14" s="7" t="s">
        <v>260</v>
      </c>
      <c r="F14" s="8"/>
      <c r="G14" s="8">
        <v>8</v>
      </c>
      <c r="H14" s="8">
        <v>13</v>
      </c>
      <c r="I14" s="8"/>
      <c r="J14" s="8"/>
      <c r="K14" s="9">
        <v>5</v>
      </c>
      <c r="N14" s="1328"/>
      <c r="O14" s="819" t="s">
        <v>743</v>
      </c>
      <c r="P14" s="820">
        <f>MIN(INT(($P$4*$G$49*U10)*(1+$B$34+$E$34+$B$52+$K$35)),ReadMe!$M$99)</f>
        <v>39335</v>
      </c>
      <c r="Q14" s="1331"/>
      <c r="R14" s="830" t="s">
        <v>743</v>
      </c>
      <c r="S14" s="826">
        <f>MIN(INT(P14*$F$41),ReadMe!$M$99)</f>
        <v>59002</v>
      </c>
      <c r="T14" s="1161"/>
      <c r="U14" s="1377"/>
      <c r="W14" s="422" t="s">
        <v>1202</v>
      </c>
      <c r="X14" s="441" t="s">
        <v>540</v>
      </c>
      <c r="Y14" s="445">
        <f>Y5*1.5+($X$5/10)*(0.5/1.2)</f>
        <v>1.852083333333333</v>
      </c>
      <c r="Z14" s="799">
        <f>Z5*1.5+($X$5/10)*(0.5/1.2)</f>
        <v>2.0020833333333337</v>
      </c>
      <c r="AA14" s="446">
        <f>AA5*1.5+($X$5/10)*(0.5/1.2)</f>
        <v>2.1070833333333336</v>
      </c>
    </row>
    <row r="15" spans="2:27" ht="14.25" thickBot="1">
      <c r="B15" s="22"/>
      <c r="D15" s="402">
        <f>M23+IF(L24="true",M24,M25)+M17</f>
        <v>7</v>
      </c>
      <c r="E15" s="7" t="s">
        <v>261</v>
      </c>
      <c r="F15" s="8">
        <v>15</v>
      </c>
      <c r="G15" s="8"/>
      <c r="H15" s="8"/>
      <c r="I15" s="8"/>
      <c r="J15" s="8"/>
      <c r="K15" s="9"/>
      <c r="M15" s="402"/>
      <c r="N15" s="1351" t="s">
        <v>1135</v>
      </c>
      <c r="O15" s="821" t="s">
        <v>739</v>
      </c>
      <c r="P15" s="827">
        <f>P12*3</f>
        <v>110925</v>
      </c>
      <c r="Q15" s="518"/>
      <c r="R15" s="478"/>
      <c r="S15" s="1367">
        <f>(P16*$U$9+($U$9*0.4*U34))*$G$47</f>
        <v>14307702.4</v>
      </c>
      <c r="T15" s="1368"/>
      <c r="U15" s="1369"/>
      <c r="W15" s="423" t="s">
        <v>1203</v>
      </c>
      <c r="X15" s="441" t="s">
        <v>172</v>
      </c>
      <c r="Y15" s="447">
        <f>Y5+$X$5/10*0.5</f>
        <v>1.2625</v>
      </c>
      <c r="Z15" s="800">
        <f>Z5+$X$5/10*0.5</f>
        <v>1.3625</v>
      </c>
      <c r="AA15" s="448">
        <f>AA5+$X$5/10*0.5</f>
        <v>1.4325</v>
      </c>
    </row>
    <row r="16" spans="1:27" ht="14.25" thickBot="1">
      <c r="A16" s="402"/>
      <c r="B16" s="816" t="s">
        <v>1028</v>
      </c>
      <c r="C16" s="807"/>
      <c r="D16" s="832">
        <v>1</v>
      </c>
      <c r="E16" s="7" t="s">
        <v>262</v>
      </c>
      <c r="F16" s="8">
        <v>4</v>
      </c>
      <c r="G16" s="8"/>
      <c r="H16" s="8">
        <v>8</v>
      </c>
      <c r="I16" s="8"/>
      <c r="J16" s="8"/>
      <c r="K16" s="9"/>
      <c r="L16" s="455"/>
      <c r="M16" s="460"/>
      <c r="N16" s="1327"/>
      <c r="O16" s="367" t="s">
        <v>742</v>
      </c>
      <c r="P16" s="828">
        <f>U12*3</f>
        <v>144150</v>
      </c>
      <c r="Q16" s="557" t="s">
        <v>179</v>
      </c>
      <c r="R16" s="558"/>
      <c r="S16" s="1370"/>
      <c r="T16" s="1371"/>
      <c r="U16" s="1372"/>
      <c r="W16" s="427" t="s">
        <v>1204</v>
      </c>
      <c r="X16" s="443" t="s">
        <v>173</v>
      </c>
      <c r="Y16" s="453">
        <f>Y5*0.5+$X$5/10*(0.5/1.2)</f>
        <v>0.6520833333333333</v>
      </c>
      <c r="Z16" s="803">
        <f>Z5*0.5+$X$5/10*(0.5/1.2)</f>
        <v>0.7020833333333334</v>
      </c>
      <c r="AA16" s="454">
        <f>AA5*0.5+$X$5/10*(0.5/1.2)</f>
        <v>0.7370833333333334</v>
      </c>
    </row>
    <row r="17" spans="1:21" ht="14.25" thickBot="1">
      <c r="A17" s="402" t="b">
        <v>1</v>
      </c>
      <c r="B17" s="793" t="s">
        <v>236</v>
      </c>
      <c r="C17" s="138"/>
      <c r="D17" s="856"/>
      <c r="E17" s="7" t="s">
        <v>5</v>
      </c>
      <c r="F17" s="8"/>
      <c r="G17" s="8">
        <v>3</v>
      </c>
      <c r="H17" s="8">
        <v>3</v>
      </c>
      <c r="I17" s="8">
        <v>3</v>
      </c>
      <c r="J17" s="8">
        <v>3</v>
      </c>
      <c r="K17" s="9"/>
      <c r="L17" s="459" t="str">
        <f>IF(A17=TRUE,"TRUE",IF(D17=1,"TRUE","FLASE"))</f>
        <v>TRUE</v>
      </c>
      <c r="M17" s="402">
        <f>IF(L17="true",4,0)</f>
        <v>4</v>
      </c>
      <c r="N17" s="1328"/>
      <c r="O17" s="819" t="s">
        <v>743</v>
      </c>
      <c r="P17" s="829">
        <f>S14*3</f>
        <v>177006</v>
      </c>
      <c r="Q17" s="1164" t="s">
        <v>277</v>
      </c>
      <c r="R17" s="1165"/>
      <c r="S17" s="1373"/>
      <c r="T17" s="1374"/>
      <c r="U17" s="1375"/>
    </row>
    <row r="18" spans="1:21" ht="14.25" thickBot="1">
      <c r="A18" s="402"/>
      <c r="B18" s="808" t="str">
        <f>IF($L$17="true","聖＋雷","聖のみ")</f>
        <v>聖＋雷</v>
      </c>
      <c r="C18" s="809"/>
      <c r="D18" s="857"/>
      <c r="E18" s="7" t="s">
        <v>5</v>
      </c>
      <c r="F18" s="8">
        <v>1</v>
      </c>
      <c r="G18" s="8">
        <v>1</v>
      </c>
      <c r="H18" s="8">
        <v>1</v>
      </c>
      <c r="I18" s="8">
        <v>1</v>
      </c>
      <c r="J18" s="8">
        <v>1</v>
      </c>
      <c r="K18" s="9"/>
      <c r="L18" s="455"/>
      <c r="M18" s="460"/>
      <c r="N18" s="290"/>
      <c r="U18" s="290"/>
    </row>
    <row r="19" spans="1:29" ht="14.25" thickBot="1">
      <c r="A19" s="402"/>
      <c r="B19" s="810" t="str">
        <f>IF($L$17="true","火＋雷","火のみ")</f>
        <v>火＋雷</v>
      </c>
      <c r="C19" s="811"/>
      <c r="D19" s="858"/>
      <c r="E19" s="7" t="s">
        <v>5</v>
      </c>
      <c r="F19" s="8">
        <v>1</v>
      </c>
      <c r="G19" s="8">
        <v>1</v>
      </c>
      <c r="H19" s="8">
        <v>1</v>
      </c>
      <c r="I19" s="8">
        <v>1</v>
      </c>
      <c r="J19" s="8">
        <v>1</v>
      </c>
      <c r="K19" s="9"/>
      <c r="L19" s="402"/>
      <c r="M19" s="402"/>
      <c r="N19" s="1158" t="s">
        <v>303</v>
      </c>
      <c r="O19" s="1159"/>
      <c r="P19" s="1159"/>
      <c r="Q19" s="1159"/>
      <c r="R19" s="1159"/>
      <c r="S19" s="1159"/>
      <c r="T19" s="163" t="s">
        <v>267</v>
      </c>
      <c r="U19" s="174">
        <f>IF(A5=4,94,IF(A5=5,83,IF(A5=6,79,IF(A5=7,73,IF(A5=8,70,0)))))</f>
        <v>94</v>
      </c>
      <c r="W19" s="846"/>
      <c r="X19" s="847" t="s">
        <v>167</v>
      </c>
      <c r="Y19" s="847" t="s">
        <v>165</v>
      </c>
      <c r="Z19" s="847" t="s">
        <v>164</v>
      </c>
      <c r="AA19" s="847" t="s">
        <v>540</v>
      </c>
      <c r="AB19" s="847" t="s">
        <v>439</v>
      </c>
      <c r="AC19" s="744"/>
    </row>
    <row r="20" spans="1:29" ht="14.25" customHeight="1" thickBot="1">
      <c r="A20" s="402"/>
      <c r="B20" s="812" t="str">
        <f>IF($L$17="true","氷＋雷","氷のみ")</f>
        <v>氷＋雷</v>
      </c>
      <c r="C20" s="813"/>
      <c r="D20" s="859"/>
      <c r="E20" s="7" t="s">
        <v>5</v>
      </c>
      <c r="F20" s="8"/>
      <c r="G20" s="8"/>
      <c r="H20" s="8"/>
      <c r="I20" s="8"/>
      <c r="J20" s="8"/>
      <c r="K20" s="9"/>
      <c r="M20" s="402"/>
      <c r="N20" s="23" t="s">
        <v>238</v>
      </c>
      <c r="O20" s="979">
        <f>D9</f>
        <v>12</v>
      </c>
      <c r="P20" s="1357" t="s">
        <v>1406</v>
      </c>
      <c r="Q20" s="1358"/>
      <c r="R20" s="760">
        <f>(360+10*O20)/100</f>
        <v>4.8</v>
      </c>
      <c r="S20" s="1181" t="s">
        <v>1205</v>
      </c>
      <c r="T20" s="1182"/>
      <c r="U20" s="836">
        <f>R20*$U$6</f>
        <v>7.176</v>
      </c>
      <c r="W20" s="460"/>
      <c r="X20" s="848">
        <v>1</v>
      </c>
      <c r="Y20" s="848">
        <v>2</v>
      </c>
      <c r="Z20" s="848">
        <v>3</v>
      </c>
      <c r="AA20" s="848">
        <v>4</v>
      </c>
      <c r="AB20" s="849">
        <v>5</v>
      </c>
      <c r="AC20" s="850">
        <v>1</v>
      </c>
    </row>
    <row r="21" spans="1:29" ht="13.5">
      <c r="A21" s="402"/>
      <c r="B21" s="814" t="str">
        <f>IF($L$17="true","雷のみ","聖のみ")</f>
        <v>雷のみ</v>
      </c>
      <c r="C21" s="815"/>
      <c r="D21" s="860"/>
      <c r="E21" s="7" t="s">
        <v>1305</v>
      </c>
      <c r="F21" s="8"/>
      <c r="G21" s="8">
        <v>2</v>
      </c>
      <c r="H21" s="8">
        <v>2</v>
      </c>
      <c r="I21" s="8">
        <v>2</v>
      </c>
      <c r="J21" s="8">
        <v>2</v>
      </c>
      <c r="K21" s="9"/>
      <c r="L21" s="459"/>
      <c r="M21" s="460"/>
      <c r="N21" s="1326" t="s">
        <v>738</v>
      </c>
      <c r="O21" s="822" t="s">
        <v>739</v>
      </c>
      <c r="P21" s="823">
        <f>MIN(INT(($R$4*U20)*(1+$B$34+$E$34+$B$52+$K$35)),ReadMe!$M$99)</f>
        <v>61412</v>
      </c>
      <c r="Q21" s="1329" t="s">
        <v>740</v>
      </c>
      <c r="R21" s="824" t="s">
        <v>739</v>
      </c>
      <c r="S21" s="835">
        <f>MIN(INT(P21*$E$41),ReadMe!$M$99)</f>
        <v>73694</v>
      </c>
      <c r="T21" s="1356" t="s">
        <v>1206</v>
      </c>
      <c r="U21" s="1364">
        <f>INT(P22*(1-$G$41)+S22*$G$41)</f>
        <v>64481</v>
      </c>
      <c r="W21" s="460" t="s">
        <v>104</v>
      </c>
      <c r="X21" s="851">
        <f>AA4</f>
        <v>2.055</v>
      </c>
      <c r="Y21" s="851">
        <v>1.95</v>
      </c>
      <c r="Z21" s="851">
        <v>1.8</v>
      </c>
      <c r="AA21" s="851">
        <v>1.875</v>
      </c>
      <c r="AB21" s="852">
        <v>1</v>
      </c>
      <c r="AC21" s="853">
        <v>2</v>
      </c>
    </row>
    <row r="22" spans="1:29" ht="14.25" thickBot="1">
      <c r="A22" s="402"/>
      <c r="B22" s="70" t="s">
        <v>103</v>
      </c>
      <c r="C22" s="71"/>
      <c r="D22" s="861"/>
      <c r="E22" s="7" t="s">
        <v>1307</v>
      </c>
      <c r="F22" s="8"/>
      <c r="G22" s="8">
        <v>3</v>
      </c>
      <c r="H22" s="8">
        <v>3</v>
      </c>
      <c r="I22" s="8">
        <v>3</v>
      </c>
      <c r="J22" s="8">
        <v>3</v>
      </c>
      <c r="K22" s="9"/>
      <c r="L22" s="459"/>
      <c r="M22" s="460"/>
      <c r="N22" s="1327"/>
      <c r="O22" s="817" t="s">
        <v>742</v>
      </c>
      <c r="P22" s="358">
        <f>INT((P21+P23)/2)</f>
        <v>63372</v>
      </c>
      <c r="Q22" s="1330"/>
      <c r="R22" s="818" t="s">
        <v>742</v>
      </c>
      <c r="S22" s="156">
        <f>MIN(INT(P22*(($E$41+$F$41)/2)),ReadMe!$M$99)</f>
        <v>85552</v>
      </c>
      <c r="T22" s="1167"/>
      <c r="U22" s="1365"/>
      <c r="W22" s="460" t="s">
        <v>105</v>
      </c>
      <c r="X22" s="851">
        <f>AA5</f>
        <v>1.37</v>
      </c>
      <c r="Y22" s="851">
        <v>1.3</v>
      </c>
      <c r="Z22" s="851">
        <v>1.2</v>
      </c>
      <c r="AA22" s="851">
        <v>1.25</v>
      </c>
      <c r="AB22" s="854">
        <v>1</v>
      </c>
      <c r="AC22" s="853">
        <v>3</v>
      </c>
    </row>
    <row r="23" spans="1:29" ht="14.25" thickBot="1">
      <c r="A23" s="402" t="b">
        <v>0</v>
      </c>
      <c r="B23" s="1380" t="str">
        <f>IF(D16=1,"聖弱点",IF(D16=2,"火弱点",IF(D16=3,"氷弱点",IF(D16=4,"雷弱点","-"))))</f>
        <v>聖弱点</v>
      </c>
      <c r="C23" s="1381"/>
      <c r="D23" s="862"/>
      <c r="E23" s="7" t="s">
        <v>181</v>
      </c>
      <c r="F23" s="8"/>
      <c r="G23" s="8"/>
      <c r="H23" s="8"/>
      <c r="I23" s="8"/>
      <c r="J23" s="8"/>
      <c r="K23" s="9"/>
      <c r="L23" s="486" t="str">
        <f>IF(A23=TRUE,"TRUE",IF(D23=1,"TRUE","FLASE"))</f>
        <v>FLASE</v>
      </c>
      <c r="M23" s="402">
        <f>IF(L23="true",2,3)</f>
        <v>3</v>
      </c>
      <c r="N23" s="1363"/>
      <c r="O23" s="837" t="s">
        <v>743</v>
      </c>
      <c r="P23" s="838">
        <f>MIN(INT(($T$4*U20)*(1+$B$34+$E$34+$B$52+$K$35)),ReadMe!$M$99)</f>
        <v>65332</v>
      </c>
      <c r="Q23" s="1331"/>
      <c r="R23" s="830" t="s">
        <v>743</v>
      </c>
      <c r="S23" s="839">
        <f>MIN(INT(P23*$F$41),ReadMe!$M$99)</f>
        <v>97998</v>
      </c>
      <c r="T23" s="1362"/>
      <c r="U23" s="1366"/>
      <c r="W23" s="460" t="s">
        <v>106</v>
      </c>
      <c r="X23" s="855">
        <f>AA8</f>
        <v>2.21125</v>
      </c>
      <c r="Y23" s="855">
        <v>2.10625</v>
      </c>
      <c r="Z23" s="855">
        <v>1.95625</v>
      </c>
      <c r="AA23" s="851">
        <v>1.875</v>
      </c>
      <c r="AB23" s="854">
        <v>1</v>
      </c>
      <c r="AC23" s="853">
        <v>4</v>
      </c>
    </row>
    <row r="24" spans="1:29" ht="14.25" customHeight="1" thickBot="1">
      <c r="A24" s="402" t="b">
        <v>0</v>
      </c>
      <c r="B24" s="1382" t="str">
        <f>IF(OR(D16=4,D16=5),"-","雷弱点")</f>
        <v>雷弱点</v>
      </c>
      <c r="C24" s="1383"/>
      <c r="D24" s="863"/>
      <c r="E24" s="7" t="s">
        <v>13</v>
      </c>
      <c r="F24" s="8"/>
      <c r="G24" s="8"/>
      <c r="H24" s="8"/>
      <c r="I24" s="8"/>
      <c r="J24" s="8"/>
      <c r="K24" s="9"/>
      <c r="L24" s="486" t="str">
        <f>IF(A24=TRUE,"TRUE",IF(D24=1,"TRUE","FLASE"))</f>
        <v>FLASE</v>
      </c>
      <c r="M24" s="402">
        <f>IF(L17="true",IF(L24="true",-2,0),0)</f>
        <v>0</v>
      </c>
      <c r="N24" s="17" t="s">
        <v>1112</v>
      </c>
      <c r="O24" s="1091">
        <v>1</v>
      </c>
      <c r="P24" s="1335" t="s">
        <v>278</v>
      </c>
      <c r="Q24" s="1336"/>
      <c r="R24" s="1336"/>
      <c r="S24" s="1354">
        <f>(U21*O24*$U$19+($U$9*0.4*U34))*$G$47</f>
        <v>6818816.4</v>
      </c>
      <c r="T24" s="1354"/>
      <c r="U24" s="1355"/>
      <c r="W24" s="648" t="s">
        <v>107</v>
      </c>
      <c r="X24" s="855">
        <f>AA9</f>
        <v>1.5575</v>
      </c>
      <c r="Y24" s="855">
        <v>1.4875</v>
      </c>
      <c r="Z24" s="855">
        <v>1.3875</v>
      </c>
      <c r="AA24" s="851">
        <v>1.25</v>
      </c>
      <c r="AB24" s="854">
        <v>1</v>
      </c>
      <c r="AC24" s="853">
        <v>5</v>
      </c>
    </row>
    <row r="25" spans="1:29" ht="14.25" customHeight="1" thickBot="1">
      <c r="A25" s="402" t="b">
        <v>0</v>
      </c>
      <c r="B25" s="1384" t="str">
        <f>IF(OR(D16=4,D16=5),"-","雷耐性")</f>
        <v>雷耐性</v>
      </c>
      <c r="C25" s="1385"/>
      <c r="D25" s="976"/>
      <c r="E25" s="7" t="s">
        <v>1153</v>
      </c>
      <c r="F25" s="488">
        <v>20</v>
      </c>
      <c r="G25" s="488"/>
      <c r="H25" s="488"/>
      <c r="I25" s="488"/>
      <c r="J25" s="488"/>
      <c r="K25" s="489"/>
      <c r="L25" s="486" t="str">
        <f>IF(A25=TRUE,"TRUE",IF(D25=1,"TRUE","FLASE"))</f>
        <v>FLASE</v>
      </c>
      <c r="M25" s="402">
        <f>IF(L17="true",IF(L25="true",2,0),0)</f>
        <v>0</v>
      </c>
      <c r="N25" s="288"/>
      <c r="O25" s="288"/>
      <c r="P25" s="288"/>
      <c r="Q25" s="288"/>
      <c r="R25" s="288"/>
      <c r="S25" s="288"/>
      <c r="T25" s="288"/>
      <c r="U25" s="288"/>
      <c r="W25" s="648" t="s">
        <v>108</v>
      </c>
      <c r="X25" s="855">
        <f>AA11</f>
        <v>2.18</v>
      </c>
      <c r="Y25" s="855">
        <v>2.075</v>
      </c>
      <c r="Z25" s="855">
        <v>1.925</v>
      </c>
      <c r="AA25" s="851">
        <v>1.875</v>
      </c>
      <c r="AB25" s="854">
        <v>1</v>
      </c>
      <c r="AC25" s="853">
        <v>6</v>
      </c>
    </row>
    <row r="26" spans="1:29" ht="14.25" thickBot="1">
      <c r="A26" s="402"/>
      <c r="B26" s="179"/>
      <c r="C26" s="977"/>
      <c r="D26" s="978"/>
      <c r="E26" s="42" t="s">
        <v>715</v>
      </c>
      <c r="F26" s="488"/>
      <c r="G26" s="488"/>
      <c r="H26" s="488"/>
      <c r="I26" s="488"/>
      <c r="J26" s="488"/>
      <c r="K26" s="489"/>
      <c r="L26" s="486"/>
      <c r="M26" s="402"/>
      <c r="N26" s="1158" t="s">
        <v>1001</v>
      </c>
      <c r="O26" s="1159"/>
      <c r="P26" s="1159"/>
      <c r="Q26" s="1159"/>
      <c r="R26" s="1159"/>
      <c r="S26" s="1159"/>
      <c r="T26" s="1159"/>
      <c r="U26" s="1160"/>
      <c r="W26" s="648" t="s">
        <v>109</v>
      </c>
      <c r="X26" s="855">
        <f>AA12</f>
        <v>1.495</v>
      </c>
      <c r="Y26" s="855">
        <v>1.425</v>
      </c>
      <c r="Z26" s="855">
        <v>1.325</v>
      </c>
      <c r="AA26" s="851">
        <v>1.25</v>
      </c>
      <c r="AB26" s="854">
        <v>1</v>
      </c>
      <c r="AC26" s="853">
        <v>7</v>
      </c>
    </row>
    <row r="27" spans="1:29" ht="14.25" customHeight="1" thickBot="1">
      <c r="A27" s="402"/>
      <c r="B27" s="1132" t="s">
        <v>275</v>
      </c>
      <c r="C27" s="1128"/>
      <c r="D27" s="20">
        <v>11</v>
      </c>
      <c r="E27" s="216" t="s">
        <v>1310</v>
      </c>
      <c r="F27" s="8">
        <v>34</v>
      </c>
      <c r="G27" s="40">
        <f>ROUNDDOWN(G3*D28%,0)</f>
        <v>46</v>
      </c>
      <c r="H27" s="40">
        <f>ROUNDDOWN(H3*D28%,0)</f>
        <v>0</v>
      </c>
      <c r="I27" s="40">
        <f>ROUNDDOWN(I3*D28%,0)</f>
        <v>0</v>
      </c>
      <c r="J27" s="40">
        <f>ROUNDDOWN(J3*D28%,0)</f>
        <v>0</v>
      </c>
      <c r="K27" s="9">
        <v>120</v>
      </c>
      <c r="L27" s="402"/>
      <c r="M27" s="402"/>
      <c r="N27" s="23" t="s">
        <v>238</v>
      </c>
      <c r="O27" s="82">
        <f>D8</f>
        <v>3</v>
      </c>
      <c r="P27" s="1181" t="s">
        <v>1406</v>
      </c>
      <c r="Q27" s="1182"/>
      <c r="R27" s="75">
        <f>(O27*4+130)/100</f>
        <v>1.42</v>
      </c>
      <c r="S27" s="1324" t="s">
        <v>178</v>
      </c>
      <c r="T27" s="1325"/>
      <c r="U27" s="840">
        <f>R27*$U$6</f>
        <v>2.1229</v>
      </c>
      <c r="W27" s="648" t="s">
        <v>110</v>
      </c>
      <c r="X27" s="855">
        <f>AA14</f>
        <v>2.1070833333333336</v>
      </c>
      <c r="Y27" s="855">
        <v>2.0020833333333337</v>
      </c>
      <c r="Z27" s="855">
        <v>1.852083333333333</v>
      </c>
      <c r="AA27" s="851">
        <v>1.875</v>
      </c>
      <c r="AB27" s="854">
        <v>1</v>
      </c>
      <c r="AC27" s="853">
        <v>8</v>
      </c>
    </row>
    <row r="28" spans="2:29" ht="14.25" customHeight="1" thickBot="1">
      <c r="B28" s="5" t="s">
        <v>263</v>
      </c>
      <c r="C28" s="536"/>
      <c r="D28" s="6">
        <f>ROUNDUP(D27/2,0)</f>
        <v>6</v>
      </c>
      <c r="E28" s="7" t="s">
        <v>264</v>
      </c>
      <c r="F28" s="43">
        <f>D29</f>
        <v>0</v>
      </c>
      <c r="G28" s="43">
        <f>SUM(G4:G26)</f>
        <v>89</v>
      </c>
      <c r="H28" s="43">
        <f>SUM(H4:H26)</f>
        <v>70</v>
      </c>
      <c r="I28" s="43">
        <f>SUM(I4:I26)</f>
        <v>27</v>
      </c>
      <c r="J28" s="43">
        <f>SUM(J4:J26)</f>
        <v>27</v>
      </c>
      <c r="K28" s="44">
        <f>SUM(K3:K25)+D29+K27</f>
        <v>164</v>
      </c>
      <c r="M28" s="402"/>
      <c r="N28" s="1326" t="s">
        <v>738</v>
      </c>
      <c r="O28" s="822" t="s">
        <v>739</v>
      </c>
      <c r="P28" s="823">
        <f>MIN(INT(($R$4*U27)*(1+$B$34+$E$34+$B$52+$K$35)),ReadMe!$M$99)</f>
        <v>18167</v>
      </c>
      <c r="Q28" s="1329" t="s">
        <v>740</v>
      </c>
      <c r="R28" s="824" t="s">
        <v>739</v>
      </c>
      <c r="S28" s="825">
        <f>MIN(INT(P28*$E$41),ReadMe!$M$99)</f>
        <v>21800</v>
      </c>
      <c r="T28" s="1166" t="s">
        <v>1066</v>
      </c>
      <c r="U28" s="1390">
        <f>INT(P29*(1-$G$41)+S29*$G$41)</f>
        <v>19075</v>
      </c>
      <c r="W28" s="648" t="s">
        <v>111</v>
      </c>
      <c r="X28" s="855">
        <f>AA15</f>
        <v>1.4325</v>
      </c>
      <c r="Y28" s="855">
        <v>1.3625</v>
      </c>
      <c r="Z28" s="855">
        <v>1.2625</v>
      </c>
      <c r="AA28" s="851">
        <v>1.25</v>
      </c>
      <c r="AB28" s="854">
        <v>1</v>
      </c>
      <c r="AC28" s="853">
        <v>9</v>
      </c>
    </row>
    <row r="29" spans="2:21" ht="14.25" thickBot="1">
      <c r="B29" s="163" t="s">
        <v>1378</v>
      </c>
      <c r="C29" s="397"/>
      <c r="D29" s="164">
        <v>0</v>
      </c>
      <c r="E29" s="14" t="s">
        <v>256</v>
      </c>
      <c r="F29" s="48">
        <f>SUM(F3:F28)</f>
        <v>215</v>
      </c>
      <c r="G29" s="48">
        <f>INT((G3+G27+G28)*(1+G32))</f>
        <v>984</v>
      </c>
      <c r="H29" s="48">
        <f>INT((H3+H27+H28)*(1+H32))</f>
        <v>74</v>
      </c>
      <c r="I29" s="48">
        <f>INT((I3+I27+I28)*(1+I32))</f>
        <v>31</v>
      </c>
      <c r="J29" s="48">
        <f>INT((J3+J27+J28)*(1+J32))</f>
        <v>31</v>
      </c>
      <c r="K29" s="547">
        <f>($G$29*0.4+$J$29*0.8+$H$29*1.6+K28)*(1+K32)</f>
        <v>700.8000000000001</v>
      </c>
      <c r="N29" s="1327"/>
      <c r="O29" s="817" t="s">
        <v>742</v>
      </c>
      <c r="P29" s="358">
        <f>INT((P28+P30)/2)</f>
        <v>18747</v>
      </c>
      <c r="Q29" s="1330"/>
      <c r="R29" s="818" t="s">
        <v>742</v>
      </c>
      <c r="S29" s="156">
        <f>MIN(INT(P29*(($E$41+$F$41)/2)),ReadMe!$M$99)</f>
        <v>25308</v>
      </c>
      <c r="T29" s="1167"/>
      <c r="U29" s="1365"/>
    </row>
    <row r="30" spans="2:21" ht="14.25" customHeight="1" thickBot="1">
      <c r="B30" s="1305" t="s">
        <v>981</v>
      </c>
      <c r="C30" s="1306"/>
      <c r="D30" s="1306"/>
      <c r="E30" s="1306"/>
      <c r="F30" s="1306"/>
      <c r="G30" s="1306"/>
      <c r="H30" s="1306"/>
      <c r="I30" s="1306"/>
      <c r="J30" s="1306"/>
      <c r="K30" s="1307"/>
      <c r="N30" s="1328"/>
      <c r="O30" s="819" t="s">
        <v>743</v>
      </c>
      <c r="P30" s="820">
        <f>MIN(INT(($T$4*U27)*(1+$B$34+$E$34+$B$52+$K$35)),ReadMe!$M$99)</f>
        <v>19327</v>
      </c>
      <c r="Q30" s="1334"/>
      <c r="R30" s="841" t="s">
        <v>743</v>
      </c>
      <c r="S30" s="826">
        <f>MIN(INT(P30*$F$41),ReadMe!$M$99)</f>
        <v>28990</v>
      </c>
      <c r="T30" s="1161"/>
      <c r="U30" s="1377"/>
    </row>
    <row r="31" spans="2:21" ht="14.25" customHeight="1" thickBot="1">
      <c r="B31" s="1218" t="s">
        <v>762</v>
      </c>
      <c r="C31" s="1219"/>
      <c r="D31" s="1220"/>
      <c r="E31" s="1308" t="s">
        <v>982</v>
      </c>
      <c r="F31" s="1309"/>
      <c r="G31" s="1" t="s">
        <v>986</v>
      </c>
      <c r="H31" s="3" t="s">
        <v>985</v>
      </c>
      <c r="I31" s="3" t="s">
        <v>984</v>
      </c>
      <c r="J31" s="3" t="s">
        <v>983</v>
      </c>
      <c r="K31" s="4" t="s">
        <v>987</v>
      </c>
      <c r="N31" s="806"/>
      <c r="O31" s="805"/>
      <c r="P31" s="805"/>
      <c r="Q31" s="787"/>
      <c r="R31" s="787"/>
      <c r="S31" s="284"/>
      <c r="T31" s="284"/>
      <c r="U31" s="284"/>
    </row>
    <row r="32" spans="2:21" ht="14.25" customHeight="1" thickBot="1">
      <c r="B32" s="1210">
        <v>0</v>
      </c>
      <c r="C32" s="1211"/>
      <c r="D32" s="1212"/>
      <c r="E32" s="1130">
        <v>0</v>
      </c>
      <c r="F32" s="1131"/>
      <c r="G32" s="542">
        <v>0.09</v>
      </c>
      <c r="H32" s="543">
        <v>0</v>
      </c>
      <c r="I32" s="543">
        <v>0</v>
      </c>
      <c r="J32" s="543">
        <v>0</v>
      </c>
      <c r="K32" s="544">
        <v>0</v>
      </c>
      <c r="N32" s="1158" t="s">
        <v>1109</v>
      </c>
      <c r="O32" s="1159"/>
      <c r="P32" s="1159"/>
      <c r="Q32" s="1159"/>
      <c r="R32" s="1159"/>
      <c r="S32" s="1160"/>
      <c r="T32" s="729" t="s">
        <v>330</v>
      </c>
      <c r="U32" s="75">
        <v>0.4</v>
      </c>
    </row>
    <row r="33" spans="2:21" ht="14.25" thickBot="1">
      <c r="B33" s="1221" t="s">
        <v>135</v>
      </c>
      <c r="C33" s="1166"/>
      <c r="D33" s="1177"/>
      <c r="E33" s="1261" t="s">
        <v>877</v>
      </c>
      <c r="F33" s="1262"/>
      <c r="N33" s="263" t="s">
        <v>238</v>
      </c>
      <c r="O33" s="174">
        <f>20</f>
        <v>20</v>
      </c>
      <c r="P33" s="1332" t="s">
        <v>1406</v>
      </c>
      <c r="Q33" s="1333"/>
      <c r="R33" s="264">
        <v>1.5</v>
      </c>
      <c r="S33" s="1322" t="s">
        <v>178</v>
      </c>
      <c r="T33" s="1323"/>
      <c r="U33" s="840">
        <f>R33*$U$6</f>
        <v>2.2425</v>
      </c>
    </row>
    <row r="34" spans="2:21" ht="14.25" customHeight="1" thickBot="1">
      <c r="B34" s="1210">
        <v>0</v>
      </c>
      <c r="C34" s="1222"/>
      <c r="D34" s="1212"/>
      <c r="E34" s="1130">
        <v>0</v>
      </c>
      <c r="F34" s="1131"/>
      <c r="I34" s="1297" t="s">
        <v>1417</v>
      </c>
      <c r="J34" s="1298"/>
      <c r="K34" s="1299"/>
      <c r="N34" s="1326" t="s">
        <v>738</v>
      </c>
      <c r="O34" s="822" t="s">
        <v>739</v>
      </c>
      <c r="P34" s="823">
        <f>MIN(INT(($R$4*U33)*(1+$B$34+$E$34+$B$52+$K$35)),ReadMe!$M$99)</f>
        <v>19191</v>
      </c>
      <c r="Q34" s="1329" t="s">
        <v>740</v>
      </c>
      <c r="R34" s="824" t="s">
        <v>739</v>
      </c>
      <c r="S34" s="825">
        <f>MIN(INT(P34*$E$41),ReadMe!$M$99)</f>
        <v>23029</v>
      </c>
      <c r="T34" s="1166" t="s">
        <v>1066</v>
      </c>
      <c r="U34" s="1390">
        <f>INT(P35*(1-$G$41)+S35*$G$41)</f>
        <v>20149</v>
      </c>
    </row>
    <row r="35" spans="9:21" ht="14.25" thickBot="1">
      <c r="I35" s="14" t="s">
        <v>1410</v>
      </c>
      <c r="J35" s="15"/>
      <c r="K35" s="534">
        <v>0</v>
      </c>
      <c r="N35" s="1327"/>
      <c r="O35" s="817" t="s">
        <v>742</v>
      </c>
      <c r="P35" s="358">
        <f>INT((P34+P36)/2)</f>
        <v>19803</v>
      </c>
      <c r="Q35" s="1330"/>
      <c r="R35" s="818" t="s">
        <v>742</v>
      </c>
      <c r="S35" s="156">
        <f>MIN(INT(P35*(($E$41+$F$41)/2)),ReadMe!$M$99)</f>
        <v>26734</v>
      </c>
      <c r="T35" s="1167"/>
      <c r="U35" s="1365"/>
    </row>
    <row r="36" spans="2:21" ht="14.25" customHeight="1" thickBot="1">
      <c r="B36" s="1280" t="s">
        <v>88</v>
      </c>
      <c r="C36" s="1281"/>
      <c r="D36" s="1281"/>
      <c r="E36" s="503" t="s">
        <v>257</v>
      </c>
      <c r="F36" s="19" t="s">
        <v>259</v>
      </c>
      <c r="G36" s="504" t="s">
        <v>1085</v>
      </c>
      <c r="N36" s="1328"/>
      <c r="O36" s="819" t="s">
        <v>743</v>
      </c>
      <c r="P36" s="820">
        <f>MIN(INT(($T$4*U33)*(1+$B$34+$E$34+$B$52+$K$35)),ReadMe!$M$99)</f>
        <v>20416</v>
      </c>
      <c r="Q36" s="1334"/>
      <c r="R36" s="841" t="s">
        <v>743</v>
      </c>
      <c r="S36" s="826">
        <f>MIN(INT(P36*$F$41),ReadMe!$M$99)</f>
        <v>30624</v>
      </c>
      <c r="T36" s="1161"/>
      <c r="U36" s="1377"/>
    </row>
    <row r="37" spans="2:11" ht="14.25" customHeight="1" thickBot="1">
      <c r="B37" s="1213" t="s">
        <v>90</v>
      </c>
      <c r="C37" s="1214"/>
      <c r="D37" s="1215"/>
      <c r="E37" s="35">
        <v>1.2</v>
      </c>
      <c r="F37" s="507">
        <v>1.5</v>
      </c>
      <c r="G37" s="241">
        <v>0.05</v>
      </c>
      <c r="I37" s="1256" t="s">
        <v>438</v>
      </c>
      <c r="J37" s="1300"/>
      <c r="K37" s="1301"/>
    </row>
    <row r="38" spans="2:19" ht="14.25" thickBot="1">
      <c r="B38" s="1228" t="s">
        <v>86</v>
      </c>
      <c r="C38" s="1284"/>
      <c r="D38" s="516">
        <v>0</v>
      </c>
      <c r="E38" s="506"/>
      <c r="F38" s="505">
        <f>D38/100</f>
        <v>0</v>
      </c>
      <c r="G38" s="511">
        <f>IF(D38=0,0,(5+ROUNDUP(D38/2,0))/100)</f>
        <v>0</v>
      </c>
      <c r="I38" s="1256" t="s">
        <v>440</v>
      </c>
      <c r="J38" s="1257"/>
      <c r="K38" s="1258"/>
      <c r="N38" s="1237" t="s">
        <v>1405</v>
      </c>
      <c r="O38" s="1238"/>
      <c r="P38" s="1238"/>
      <c r="Q38" s="1386"/>
      <c r="R38" s="465" t="s">
        <v>310</v>
      </c>
      <c r="S38" s="462">
        <v>0.7</v>
      </c>
    </row>
    <row r="39" spans="1:19"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342" t="s">
        <v>1406</v>
      </c>
      <c r="O39" s="1343"/>
      <c r="P39" s="463">
        <v>1</v>
      </c>
      <c r="Q39" s="1344" t="s">
        <v>1334</v>
      </c>
      <c r="R39" s="1345"/>
      <c r="S39" s="313">
        <v>1</v>
      </c>
    </row>
    <row r="40" spans="2:19" ht="14.25" thickBot="1">
      <c r="B40" s="1285" t="s">
        <v>89</v>
      </c>
      <c r="C40" s="1286"/>
      <c r="D40" s="1287"/>
      <c r="E40" s="513">
        <v>0</v>
      </c>
      <c r="F40" s="514">
        <v>0</v>
      </c>
      <c r="G40" s="515">
        <v>0</v>
      </c>
      <c r="N40" s="1346" t="s">
        <v>738</v>
      </c>
      <c r="O40" s="88" t="s">
        <v>739</v>
      </c>
      <c r="P40" s="464">
        <f>MIN(INT(($R$4*P39)*(1+$B$34+$E$34+$B$52+$K$35)),ReadMe!$M$99)</f>
        <v>8558</v>
      </c>
      <c r="Q40" s="1337" t="s">
        <v>740</v>
      </c>
      <c r="R40" s="78" t="s">
        <v>739</v>
      </c>
      <c r="S40" s="629">
        <f>MIN(INT(P40*$E$41),ReadMe!$M$99)</f>
        <v>10269</v>
      </c>
    </row>
    <row r="41" spans="2:19" ht="14.25" customHeight="1" thickBot="1">
      <c r="B41" s="1290" t="s">
        <v>91</v>
      </c>
      <c r="C41" s="1291"/>
      <c r="D41" s="1292"/>
      <c r="E41" s="508">
        <f>E37+E39+E40</f>
        <v>1.2</v>
      </c>
      <c r="F41" s="509">
        <f>F37+MAX(F38,F39)+F40</f>
        <v>1.5</v>
      </c>
      <c r="G41" s="510">
        <f>G37+MAX(G38,G39)+G40</f>
        <v>0.05</v>
      </c>
      <c r="I41" s="1259" t="s">
        <v>128</v>
      </c>
      <c r="J41" s="1260"/>
      <c r="K41" s="791"/>
      <c r="L41" s="402" t="b">
        <v>0</v>
      </c>
      <c r="M41" s="486" t="str">
        <f>IF(L41=TRUE,"TRUE",IF(K41=1,"TRUE","FLASE"))</f>
        <v>FLASE</v>
      </c>
      <c r="N41" s="1347"/>
      <c r="O41" s="43" t="s">
        <v>742</v>
      </c>
      <c r="P41" s="181">
        <f>INT((P40+P42)/2)</f>
        <v>8831</v>
      </c>
      <c r="Q41" s="1338"/>
      <c r="R41" s="79" t="s">
        <v>742</v>
      </c>
      <c r="S41" s="156">
        <f>MIN(INT(P41*(($E$41+$F$41)/2)),ReadMe!$M$99)</f>
        <v>11921</v>
      </c>
    </row>
    <row r="42" spans="2:19" ht="14.25" thickBot="1">
      <c r="B42" s="1216" t="s">
        <v>331</v>
      </c>
      <c r="C42" s="1199"/>
      <c r="D42" s="1200"/>
      <c r="E42" s="1253">
        <f>(($E$41+$F$41)/2-1)*$G$41+1</f>
        <v>1.0175</v>
      </c>
      <c r="F42" s="1254"/>
      <c r="G42" s="1255"/>
      <c r="I42" s="590" t="s">
        <v>1119</v>
      </c>
      <c r="J42" s="788"/>
      <c r="K42" s="789">
        <v>0</v>
      </c>
      <c r="N42" s="1348"/>
      <c r="O42" s="15" t="s">
        <v>743</v>
      </c>
      <c r="P42" s="182">
        <f>MIN(INT(($T$4*P39)*(1+$B$34+$E$34+$B$52+$K$35)),ReadMe!$M$99)</f>
        <v>9104</v>
      </c>
      <c r="Q42" s="1339"/>
      <c r="R42" s="86" t="s">
        <v>743</v>
      </c>
      <c r="S42" s="520">
        <f>MIN(INT(P42*$F$41),ReadMe!$M$99)</f>
        <v>13656</v>
      </c>
    </row>
    <row r="43" spans="9:19" ht="14.25" customHeight="1" thickBot="1">
      <c r="I43" s="1251" t="s">
        <v>854</v>
      </c>
      <c r="J43" s="1252"/>
      <c r="K43" s="790">
        <f>IF(M41="true",IF(K42&gt;0,10+ROUNDUP(K42/3,0),10)/100,0)</f>
        <v>0</v>
      </c>
      <c r="L43" s="323"/>
      <c r="M43" s="323"/>
      <c r="N43" s="1302" t="s">
        <v>323</v>
      </c>
      <c r="O43" s="1303"/>
      <c r="P43" s="1304"/>
      <c r="Q43" s="1186">
        <f>INT(P41*(1-$G$41)+S41*$G$41)</f>
        <v>8985</v>
      </c>
      <c r="R43" s="1178"/>
      <c r="S43" s="1179"/>
    </row>
    <row r="44" spans="14:19" ht="14.25" thickBot="1">
      <c r="N44" s="1302" t="s">
        <v>726</v>
      </c>
      <c r="O44" s="1303"/>
      <c r="P44" s="1304"/>
      <c r="Q44" s="1186">
        <f>Q43*S39</f>
        <v>8985</v>
      </c>
      <c r="R44" s="1178"/>
      <c r="S44" s="1179"/>
    </row>
    <row r="45" spans="2:11" ht="14.25" thickBot="1">
      <c r="B45" s="1282" t="s">
        <v>735</v>
      </c>
      <c r="C45" s="1283"/>
      <c r="D45" s="533">
        <v>125</v>
      </c>
      <c r="E45" s="1249" t="s">
        <v>736</v>
      </c>
      <c r="F45" s="1250"/>
      <c r="G45" s="25">
        <f>IF(D2&gt;D45,0,$D$45-$D$2)</f>
        <v>0</v>
      </c>
      <c r="I45" s="1137" t="s">
        <v>159</v>
      </c>
      <c r="J45" s="1138"/>
      <c r="K45" s="1139"/>
    </row>
    <row r="46" spans="2:13" ht="14.25" customHeight="1">
      <c r="B46" s="1242" t="s">
        <v>769</v>
      </c>
      <c r="C46" s="1243"/>
      <c r="D46" s="9">
        <v>12</v>
      </c>
      <c r="E46" s="1242" t="s">
        <v>771</v>
      </c>
      <c r="F46" s="1243"/>
      <c r="G46" s="615">
        <f>IF(G45&gt;0,"-",D46)</f>
        <v>12</v>
      </c>
      <c r="I46" s="416" t="s">
        <v>160</v>
      </c>
      <c r="J46" s="539"/>
      <c r="K46" s="204">
        <v>20</v>
      </c>
      <c r="L46" s="323"/>
      <c r="M46" s="323"/>
    </row>
    <row r="47" spans="2:11" ht="14.25" thickBot="1">
      <c r="B47" s="1293" t="s">
        <v>734</v>
      </c>
      <c r="C47" s="1294"/>
      <c r="D47" s="9">
        <v>0</v>
      </c>
      <c r="E47" s="1242" t="s">
        <v>770</v>
      </c>
      <c r="F47" s="1243"/>
      <c r="G47" s="511">
        <f>MAX((MIN(100+SQRT($K$29)-SQRT($D$46),100)-2*G45)/100,0)</f>
        <v>1</v>
      </c>
      <c r="I47" s="417" t="s">
        <v>161</v>
      </c>
      <c r="J47" s="540"/>
      <c r="K47" s="418">
        <f>IF(K46&gt;0,(K46+10)/100,0)</f>
        <v>0.3</v>
      </c>
    </row>
    <row r="48" spans="2:7" ht="14.25" thickBot="1">
      <c r="B48" s="1278" t="s">
        <v>979</v>
      </c>
      <c r="C48" s="1279"/>
      <c r="D48" s="534">
        <v>0.25</v>
      </c>
      <c r="E48" s="1197" t="s">
        <v>980</v>
      </c>
      <c r="F48" s="1198"/>
      <c r="G48" s="28">
        <f>1-(D48-ROUNDUP(D48*MIN((K47+R11+B32),0.5),2))</f>
        <v>0.88</v>
      </c>
    </row>
    <row r="49" spans="4:13" ht="14.25" customHeight="1" thickBot="1">
      <c r="D49" s="402">
        <f>$D$47*(1-($K$47+$B$32))</f>
        <v>0</v>
      </c>
      <c r="E49" s="1197" t="s">
        <v>7</v>
      </c>
      <c r="F49" s="1198"/>
      <c r="G49" s="28">
        <f>1-(D48-ROUNDUP(D48*MIN((K47+B32+R11+R11),0.5),2))</f>
        <v>0.88</v>
      </c>
      <c r="I49" s="1246" t="s">
        <v>79</v>
      </c>
      <c r="J49" s="1247"/>
      <c r="K49" s="1248"/>
      <c r="L49" s="323"/>
      <c r="M49" s="162"/>
    </row>
    <row r="50" spans="2:13" ht="13.5">
      <c r="B50" s="1153" t="s">
        <v>1084</v>
      </c>
      <c r="C50" s="1133"/>
      <c r="D50" s="1129"/>
      <c r="I50" s="1127" t="s">
        <v>988</v>
      </c>
      <c r="J50" s="1217"/>
      <c r="K50" s="468"/>
      <c r="L50" s="486" t="b">
        <v>0</v>
      </c>
      <c r="M50" s="486" t="str">
        <f>IF(L50=TRUE,"TRUE",IF(K50=1,"TRUE","FLASE"))</f>
        <v>FLASE</v>
      </c>
    </row>
    <row r="51" spans="1:13" ht="14.25" thickBot="1">
      <c r="A51" s="323"/>
      <c r="B51" s="1187" t="s">
        <v>877</v>
      </c>
      <c r="C51" s="1188"/>
      <c r="D51" s="1189"/>
      <c r="I51" s="1244" t="s">
        <v>989</v>
      </c>
      <c r="J51" s="1245"/>
      <c r="K51" s="469"/>
      <c r="L51" s="486" t="b">
        <v>0</v>
      </c>
      <c r="M51" s="486" t="str">
        <f>IF(L51=TRUE,"TRUE",IF(K51=1,"TRUE","FLASE"))</f>
        <v>FLASE</v>
      </c>
    </row>
    <row r="52" spans="1:13" ht="14.25" thickBot="1">
      <c r="A52" s="323"/>
      <c r="B52" s="1194">
        <v>0</v>
      </c>
      <c r="C52" s="1195"/>
      <c r="D52" s="1196"/>
      <c r="I52" s="1240" t="s">
        <v>854</v>
      </c>
      <c r="J52" s="1241"/>
      <c r="K52" s="206">
        <f>IF(M50="TRUE",1.04,IF(M51="TRUE",1.02,1))</f>
        <v>1</v>
      </c>
      <c r="L52" s="333"/>
      <c r="M52" s="333"/>
    </row>
    <row r="53" ht="14.25" thickBot="1">
      <c r="A53" s="323"/>
    </row>
    <row r="54" spans="2:12" ht="14.25" customHeight="1" thickBot="1">
      <c r="B54" s="1201" t="s">
        <v>265</v>
      </c>
      <c r="C54" s="1202"/>
      <c r="D54" s="1202"/>
      <c r="E54" s="1202"/>
      <c r="F54" s="1202"/>
      <c r="G54" s="1202"/>
      <c r="H54" s="1202"/>
      <c r="I54" s="1202"/>
      <c r="J54" s="1202"/>
      <c r="K54" s="1202"/>
      <c r="L54" s="1203"/>
    </row>
    <row r="55" spans="2:12" ht="14.25" customHeight="1">
      <c r="B55" s="1268" t="s">
        <v>300</v>
      </c>
      <c r="C55" s="1270"/>
      <c r="D55" s="1270"/>
      <c r="E55" s="1270"/>
      <c r="F55" s="1270"/>
      <c r="G55" s="1270"/>
      <c r="H55" s="1270"/>
      <c r="I55" s="1270"/>
      <c r="J55" s="1270"/>
      <c r="K55" s="1270"/>
      <c r="L55" s="1272"/>
    </row>
    <row r="56" spans="2:12" ht="13.5">
      <c r="B56" s="1313" t="s">
        <v>615</v>
      </c>
      <c r="C56" s="1314"/>
      <c r="D56" s="1314"/>
      <c r="E56" s="1314"/>
      <c r="F56" s="1314"/>
      <c r="G56" s="1314"/>
      <c r="H56" s="1314"/>
      <c r="I56" s="1314"/>
      <c r="J56" s="1314"/>
      <c r="K56" s="1314"/>
      <c r="L56" s="1315"/>
    </row>
    <row r="57" spans="2:12" ht="13.5">
      <c r="B57" s="1316" t="s">
        <v>630</v>
      </c>
      <c r="C57" s="1317"/>
      <c r="D57" s="1317"/>
      <c r="E57" s="1317"/>
      <c r="F57" s="1317"/>
      <c r="G57" s="1317"/>
      <c r="H57" s="1317"/>
      <c r="I57" s="1317"/>
      <c r="J57" s="1317"/>
      <c r="K57" s="1317"/>
      <c r="L57" s="1318"/>
    </row>
    <row r="58" spans="2:12" ht="14.25" customHeight="1">
      <c r="B58" s="1319" t="s">
        <v>631</v>
      </c>
      <c r="C58" s="1320"/>
      <c r="D58" s="1320"/>
      <c r="E58" s="1320"/>
      <c r="F58" s="1320"/>
      <c r="G58" s="1320"/>
      <c r="H58" s="1320"/>
      <c r="I58" s="1320"/>
      <c r="J58" s="1320"/>
      <c r="K58" s="1320"/>
      <c r="L58" s="1321"/>
    </row>
    <row r="59" spans="2:12" ht="13.5">
      <c r="B59" s="1273" t="s">
        <v>751</v>
      </c>
      <c r="C59" s="1275"/>
      <c r="D59" s="1275"/>
      <c r="E59" s="1275"/>
      <c r="F59" s="1275"/>
      <c r="G59" s="1275"/>
      <c r="H59" s="1275"/>
      <c r="I59" s="1275"/>
      <c r="J59" s="1275"/>
      <c r="K59" s="1275"/>
      <c r="L59" s="1277"/>
    </row>
    <row r="60" spans="2:12" ht="13.5">
      <c r="B60" s="1273" t="s">
        <v>750</v>
      </c>
      <c r="C60" s="1275"/>
      <c r="D60" s="1275"/>
      <c r="E60" s="1275"/>
      <c r="F60" s="1275"/>
      <c r="G60" s="1275"/>
      <c r="H60" s="1275"/>
      <c r="I60" s="1275"/>
      <c r="J60" s="1275"/>
      <c r="K60" s="1275"/>
      <c r="L60" s="1277"/>
    </row>
    <row r="61" spans="2:12" ht="13.5">
      <c r="B61" s="1207" t="s">
        <v>589</v>
      </c>
      <c r="C61" s="1208"/>
      <c r="D61" s="1208"/>
      <c r="E61" s="1208"/>
      <c r="F61" s="1208"/>
      <c r="G61" s="1208"/>
      <c r="H61" s="1208"/>
      <c r="I61" s="1208"/>
      <c r="J61" s="1208"/>
      <c r="K61" s="1208"/>
      <c r="L61" s="1209"/>
    </row>
    <row r="62" spans="2:22" ht="14.25" customHeight="1">
      <c r="B62" s="1310" t="s">
        <v>706</v>
      </c>
      <c r="C62" s="1311"/>
      <c r="D62" s="1311"/>
      <c r="E62" s="1311"/>
      <c r="F62" s="1311"/>
      <c r="G62" s="1311"/>
      <c r="H62" s="1311"/>
      <c r="I62" s="1311"/>
      <c r="J62" s="1311"/>
      <c r="K62" s="1311"/>
      <c r="L62" s="1312"/>
      <c r="V62" s="66"/>
    </row>
    <row r="63" spans="2:22" ht="13.5">
      <c r="B63" s="1387" t="s">
        <v>608</v>
      </c>
      <c r="C63" s="1388"/>
      <c r="D63" s="1388"/>
      <c r="E63" s="1388"/>
      <c r="F63" s="1388"/>
      <c r="G63" s="1388"/>
      <c r="H63" s="1388"/>
      <c r="I63" s="1388"/>
      <c r="J63" s="1388"/>
      <c r="K63" s="1388"/>
      <c r="L63" s="1389"/>
      <c r="V63" s="66"/>
    </row>
    <row r="64" spans="2:22" ht="14.25" customHeight="1">
      <c r="B64" s="1310" t="s">
        <v>590</v>
      </c>
      <c r="C64" s="1311"/>
      <c r="D64" s="1311"/>
      <c r="E64" s="1311"/>
      <c r="F64" s="1311"/>
      <c r="G64" s="1311"/>
      <c r="H64" s="1311"/>
      <c r="I64" s="1311"/>
      <c r="J64" s="1311"/>
      <c r="K64" s="1311"/>
      <c r="L64" s="1312"/>
      <c r="V64" s="177"/>
    </row>
    <row r="65" spans="2:22" ht="13.5">
      <c r="B65" s="1310" t="s">
        <v>641</v>
      </c>
      <c r="C65" s="1311"/>
      <c r="D65" s="1311"/>
      <c r="E65" s="1311"/>
      <c r="F65" s="1311"/>
      <c r="G65" s="1311"/>
      <c r="H65" s="1311"/>
      <c r="I65" s="1311"/>
      <c r="J65" s="1311"/>
      <c r="K65" s="1311"/>
      <c r="L65" s="1312"/>
      <c r="V65" s="160"/>
    </row>
    <row r="66" spans="2:22" ht="14.25" customHeight="1">
      <c r="B66" s="1273" t="s">
        <v>183</v>
      </c>
      <c r="C66" s="1275"/>
      <c r="D66" s="1275"/>
      <c r="E66" s="1275"/>
      <c r="F66" s="1275"/>
      <c r="G66" s="1275"/>
      <c r="H66" s="1275"/>
      <c r="I66" s="1275"/>
      <c r="J66" s="1275"/>
      <c r="K66" s="1275"/>
      <c r="L66" s="1277"/>
      <c r="V66" s="57"/>
    </row>
    <row r="67" spans="2:22" ht="13.5">
      <c r="B67" s="1273" t="s">
        <v>184</v>
      </c>
      <c r="C67" s="1275"/>
      <c r="D67" s="1275"/>
      <c r="E67" s="1275"/>
      <c r="F67" s="1275"/>
      <c r="G67" s="1275"/>
      <c r="H67" s="1275"/>
      <c r="I67" s="1275"/>
      <c r="J67" s="1275"/>
      <c r="K67" s="1275"/>
      <c r="L67" s="1277"/>
      <c r="V67" s="177"/>
    </row>
    <row r="68" spans="2:12" ht="13.5">
      <c r="B68" s="1273" t="s">
        <v>185</v>
      </c>
      <c r="C68" s="1275"/>
      <c r="D68" s="1275"/>
      <c r="E68" s="1275"/>
      <c r="F68" s="1275"/>
      <c r="G68" s="1275"/>
      <c r="H68" s="1275"/>
      <c r="I68" s="1275"/>
      <c r="J68" s="1275"/>
      <c r="K68" s="1275"/>
      <c r="L68" s="1277"/>
    </row>
    <row r="69" spans="2:12" ht="14.25" thickBot="1">
      <c r="B69" s="1263" t="s">
        <v>186</v>
      </c>
      <c r="C69" s="1265"/>
      <c r="D69" s="1265"/>
      <c r="E69" s="1265"/>
      <c r="F69" s="1265"/>
      <c r="G69" s="1265"/>
      <c r="H69" s="1265"/>
      <c r="I69" s="1265"/>
      <c r="J69" s="1265"/>
      <c r="K69" s="1265"/>
      <c r="L69" s="1267"/>
    </row>
    <row r="70" ht="14.25" customHeight="1" thickBot="1"/>
    <row r="71" spans="2:12" ht="14.25" thickBot="1">
      <c r="B71" s="1201" t="s">
        <v>701</v>
      </c>
      <c r="C71" s="1202"/>
      <c r="D71" s="1202"/>
      <c r="E71" s="1202"/>
      <c r="F71" s="1202"/>
      <c r="G71" s="1202"/>
      <c r="H71" s="1202"/>
      <c r="I71" s="1202"/>
      <c r="J71" s="1202"/>
      <c r="K71" s="1202"/>
      <c r="L71" s="1203"/>
    </row>
    <row r="72" spans="2:12" ht="13.5">
      <c r="B72" s="1268" t="s">
        <v>717</v>
      </c>
      <c r="C72" s="1270"/>
      <c r="D72" s="1270"/>
      <c r="E72" s="1270"/>
      <c r="F72" s="1270"/>
      <c r="G72" s="1270"/>
      <c r="H72" s="1270"/>
      <c r="I72" s="1270"/>
      <c r="J72" s="1270"/>
      <c r="K72" s="1270"/>
      <c r="L72" s="1272"/>
    </row>
    <row r="73" spans="2:12" ht="13.5">
      <c r="B73" s="1273" t="s">
        <v>821</v>
      </c>
      <c r="C73" s="1275"/>
      <c r="D73" s="1275"/>
      <c r="E73" s="1275"/>
      <c r="F73" s="1275"/>
      <c r="G73" s="1275"/>
      <c r="H73" s="1275"/>
      <c r="I73" s="1275"/>
      <c r="J73" s="1275"/>
      <c r="K73" s="1275"/>
      <c r="L73" s="1277"/>
    </row>
    <row r="74" spans="2:12" ht="13.5">
      <c r="B74" s="1273" t="s">
        <v>822</v>
      </c>
      <c r="C74" s="1275"/>
      <c r="D74" s="1275"/>
      <c r="E74" s="1275"/>
      <c r="F74" s="1275"/>
      <c r="G74" s="1275"/>
      <c r="H74" s="1275"/>
      <c r="I74" s="1275"/>
      <c r="J74" s="1275"/>
      <c r="K74" s="1275"/>
      <c r="L74" s="1277"/>
    </row>
    <row r="75" spans="2:12" ht="13.5">
      <c r="B75" s="1273" t="s">
        <v>704</v>
      </c>
      <c r="C75" s="1275"/>
      <c r="D75" s="1275"/>
      <c r="E75" s="1275"/>
      <c r="F75" s="1275"/>
      <c r="G75" s="1275"/>
      <c r="H75" s="1275"/>
      <c r="I75" s="1275"/>
      <c r="J75" s="1275"/>
      <c r="K75" s="1275"/>
      <c r="L75" s="1277"/>
    </row>
    <row r="76" spans="2:12" ht="13.5">
      <c r="B76" s="1273" t="s">
        <v>713</v>
      </c>
      <c r="C76" s="1275"/>
      <c r="D76" s="1275"/>
      <c r="E76" s="1275"/>
      <c r="F76" s="1275"/>
      <c r="G76" s="1275"/>
      <c r="H76" s="1275"/>
      <c r="I76" s="1275"/>
      <c r="J76" s="1275"/>
      <c r="K76" s="1275"/>
      <c r="L76" s="1277"/>
    </row>
    <row r="77" spans="2:12" ht="14.25" customHeight="1" thickBot="1">
      <c r="B77" s="1263" t="s">
        <v>703</v>
      </c>
      <c r="C77" s="1265"/>
      <c r="D77" s="1265"/>
      <c r="E77" s="1265"/>
      <c r="F77" s="1265"/>
      <c r="G77" s="1265"/>
      <c r="H77" s="1265"/>
      <c r="I77" s="1265"/>
      <c r="J77" s="1265"/>
      <c r="K77" s="1265"/>
      <c r="L77" s="1267"/>
    </row>
  </sheetData>
  <sheetProtection/>
  <protectedRanges>
    <protectedRange sqref="D27 B4:C4 D2 D5:D7 F3:K3" name="範囲1"/>
    <protectedRange sqref="D45:D46 D48" name="範囲1_3"/>
    <protectedRange sqref="F27 K27" name="範囲1_4"/>
    <protectedRange sqref="F4:K5" name="範囲1_1"/>
    <protectedRange sqref="F6:K26" name="範囲1_2"/>
  </protectedRanges>
  <mergeCells count="118">
    <mergeCell ref="B63:L63"/>
    <mergeCell ref="U28:U30"/>
    <mergeCell ref="N32:S32"/>
    <mergeCell ref="P27:Q27"/>
    <mergeCell ref="B52:D52"/>
    <mergeCell ref="U34:U36"/>
    <mergeCell ref="B36:D36"/>
    <mergeCell ref="B38:C38"/>
    <mergeCell ref="B37:D37"/>
    <mergeCell ref="B40:D40"/>
    <mergeCell ref="T34:T36"/>
    <mergeCell ref="E34:F34"/>
    <mergeCell ref="E46:F46"/>
    <mergeCell ref="I43:J43"/>
    <mergeCell ref="I34:K34"/>
    <mergeCell ref="I37:K37"/>
    <mergeCell ref="I45:K45"/>
    <mergeCell ref="N44:P44"/>
    <mergeCell ref="N38:Q38"/>
    <mergeCell ref="I38:K38"/>
    <mergeCell ref="E33:F33"/>
    <mergeCell ref="E32:F32"/>
    <mergeCell ref="B47:C47"/>
    <mergeCell ref="B34:D34"/>
    <mergeCell ref="B46:C46"/>
    <mergeCell ref="E42:G42"/>
    <mergeCell ref="B42:D42"/>
    <mergeCell ref="B39:C39"/>
    <mergeCell ref="B41:D41"/>
    <mergeCell ref="B2:C2"/>
    <mergeCell ref="B32:D32"/>
    <mergeCell ref="B27:C27"/>
    <mergeCell ref="B31:D31"/>
    <mergeCell ref="B4:D4"/>
    <mergeCell ref="B30:K30"/>
    <mergeCell ref="B23:C23"/>
    <mergeCell ref="B24:C24"/>
    <mergeCell ref="B25:C25"/>
    <mergeCell ref="E31:F31"/>
    <mergeCell ref="W2:AA2"/>
    <mergeCell ref="N12:N14"/>
    <mergeCell ref="T21:T23"/>
    <mergeCell ref="N21:N23"/>
    <mergeCell ref="U21:U23"/>
    <mergeCell ref="R2:T2"/>
    <mergeCell ref="S15:U17"/>
    <mergeCell ref="Q12:Q14"/>
    <mergeCell ref="N9:S9"/>
    <mergeCell ref="U12:U14"/>
    <mergeCell ref="N15:N17"/>
    <mergeCell ref="S10:T10"/>
    <mergeCell ref="Q17:R17"/>
    <mergeCell ref="S24:U24"/>
    <mergeCell ref="T12:T14"/>
    <mergeCell ref="S20:T20"/>
    <mergeCell ref="P10:Q10"/>
    <mergeCell ref="P20:Q20"/>
    <mergeCell ref="P11:Q11"/>
    <mergeCell ref="N19:S19"/>
    <mergeCell ref="U6:U7"/>
    <mergeCell ref="B76:L76"/>
    <mergeCell ref="B77:L77"/>
    <mergeCell ref="N26:U26"/>
    <mergeCell ref="B72:L72"/>
    <mergeCell ref="B71:L71"/>
    <mergeCell ref="B66:L66"/>
    <mergeCell ref="B60:L60"/>
    <mergeCell ref="B64:L64"/>
    <mergeCell ref="B65:L65"/>
    <mergeCell ref="Q43:S43"/>
    <mergeCell ref="E49:F49"/>
    <mergeCell ref="N40:N42"/>
    <mergeCell ref="E48:F48"/>
    <mergeCell ref="F1:P1"/>
    <mergeCell ref="B54:L54"/>
    <mergeCell ref="B55:L55"/>
    <mergeCell ref="N2:P2"/>
    <mergeCell ref="P6:Q6"/>
    <mergeCell ref="Q44:S44"/>
    <mergeCell ref="N39:O39"/>
    <mergeCell ref="Q39:R39"/>
    <mergeCell ref="S11:T11"/>
    <mergeCell ref="I41:J41"/>
    <mergeCell ref="B75:L75"/>
    <mergeCell ref="N28:N30"/>
    <mergeCell ref="Q28:Q30"/>
    <mergeCell ref="B73:L73"/>
    <mergeCell ref="B74:L74"/>
    <mergeCell ref="B69:L69"/>
    <mergeCell ref="B68:L68"/>
    <mergeCell ref="B67:L67"/>
    <mergeCell ref="B33:D33"/>
    <mergeCell ref="Q40:Q42"/>
    <mergeCell ref="N34:N36"/>
    <mergeCell ref="Q21:Q23"/>
    <mergeCell ref="P33:Q33"/>
    <mergeCell ref="Q34:Q36"/>
    <mergeCell ref="P24:R24"/>
    <mergeCell ref="S33:T33"/>
    <mergeCell ref="T28:T30"/>
    <mergeCell ref="S27:T27"/>
    <mergeCell ref="B50:D50"/>
    <mergeCell ref="I49:K49"/>
    <mergeCell ref="E47:F47"/>
    <mergeCell ref="N43:P43"/>
    <mergeCell ref="B45:C45"/>
    <mergeCell ref="E45:F45"/>
    <mergeCell ref="B48:C48"/>
    <mergeCell ref="I50:J50"/>
    <mergeCell ref="I51:J51"/>
    <mergeCell ref="B62:L62"/>
    <mergeCell ref="B56:L56"/>
    <mergeCell ref="B57:L57"/>
    <mergeCell ref="B58:L58"/>
    <mergeCell ref="B59:L59"/>
    <mergeCell ref="B61:L61"/>
    <mergeCell ref="B51:D51"/>
    <mergeCell ref="I52:J52"/>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20.xml><?xml version="1.0" encoding="utf-8"?>
<worksheet xmlns="http://schemas.openxmlformats.org/spreadsheetml/2006/main" xmlns:r="http://schemas.openxmlformats.org/officeDocument/2006/relationships">
  <dimension ref="A1:Z330"/>
  <sheetViews>
    <sheetView workbookViewId="0" topLeftCell="A1">
      <selection activeCell="A1" sqref="A1"/>
    </sheetView>
  </sheetViews>
  <sheetFormatPr defaultColWidth="9.00390625" defaultRowHeight="13.5"/>
  <cols>
    <col min="1" max="1" width="2.625" style="0" customWidth="1"/>
    <col min="2" max="11" width="9.125" style="0" customWidth="1"/>
    <col min="12" max="12" width="4.125" style="0" customWidth="1"/>
    <col min="13" max="23" width="9.00390625" style="333" customWidth="1"/>
    <col min="24" max="26" width="7.625" style="0" customWidth="1"/>
  </cols>
  <sheetData>
    <row r="1" spans="13:23" ht="14.25" thickBot="1">
      <c r="M1" s="323"/>
      <c r="N1" s="323"/>
      <c r="O1" s="323"/>
      <c r="P1" s="323"/>
      <c r="Q1" s="323"/>
      <c r="R1" s="323"/>
      <c r="S1" s="323"/>
      <c r="T1" s="323"/>
      <c r="U1" s="323"/>
      <c r="V1" s="323"/>
      <c r="W1" s="323"/>
    </row>
    <row r="2" spans="1:26" ht="30" customHeight="1" thickBot="1">
      <c r="A2" s="57"/>
      <c r="B2" s="1860" t="s">
        <v>471</v>
      </c>
      <c r="C2" s="1861"/>
      <c r="D2" s="1861"/>
      <c r="E2" s="1861"/>
      <c r="F2" s="1861"/>
      <c r="G2" s="1861"/>
      <c r="H2" s="1861"/>
      <c r="I2" s="1861"/>
      <c r="J2" s="1861"/>
      <c r="K2" s="1862"/>
      <c r="L2" s="118"/>
      <c r="M2" s="1857" t="s">
        <v>1235</v>
      </c>
      <c r="N2" s="1858"/>
      <c r="O2" s="1858"/>
      <c r="P2" s="1858"/>
      <c r="Q2" s="1858"/>
      <c r="R2" s="1858"/>
      <c r="S2" s="1858"/>
      <c r="T2" s="1858"/>
      <c r="U2" s="1858"/>
      <c r="V2" s="1858"/>
      <c r="W2" s="1859"/>
      <c r="X2" s="57"/>
      <c r="Y2" s="57"/>
      <c r="Z2" s="57"/>
    </row>
    <row r="3" spans="1:26" ht="17.25" customHeight="1">
      <c r="A3" s="57"/>
      <c r="B3" s="1863" t="s">
        <v>500</v>
      </c>
      <c r="C3" s="1864"/>
      <c r="D3" s="1864"/>
      <c r="E3" s="1864"/>
      <c r="F3" s="1864"/>
      <c r="G3" s="1864"/>
      <c r="H3" s="1864"/>
      <c r="I3" s="1864"/>
      <c r="J3" s="1864"/>
      <c r="K3" s="1809"/>
      <c r="L3" s="57"/>
      <c r="M3" s="349" t="s">
        <v>1304</v>
      </c>
      <c r="N3" s="350"/>
      <c r="O3" s="350"/>
      <c r="P3" s="350"/>
      <c r="Q3" s="350"/>
      <c r="R3" s="350"/>
      <c r="S3" s="350"/>
      <c r="T3" s="350"/>
      <c r="U3" s="350"/>
      <c r="V3" s="350"/>
      <c r="W3" s="351"/>
      <c r="X3" s="57"/>
      <c r="Y3" s="57"/>
      <c r="Z3" s="57"/>
    </row>
    <row r="4" spans="1:26" ht="13.5" customHeight="1">
      <c r="A4" s="57"/>
      <c r="B4" s="258"/>
      <c r="C4" s="259"/>
      <c r="D4" s="259"/>
      <c r="E4" s="259"/>
      <c r="F4" s="259"/>
      <c r="G4" s="259"/>
      <c r="H4" s="259"/>
      <c r="I4" s="259"/>
      <c r="J4" s="259"/>
      <c r="K4" s="260"/>
      <c r="L4" s="57"/>
      <c r="M4" s="321" t="s">
        <v>1165</v>
      </c>
      <c r="N4" s="328"/>
      <c r="O4" s="328">
        <v>6</v>
      </c>
      <c r="P4" s="328"/>
      <c r="Q4" s="328"/>
      <c r="R4" s="328"/>
      <c r="S4" s="328"/>
      <c r="T4" s="328"/>
      <c r="U4" s="328"/>
      <c r="V4" s="328"/>
      <c r="W4" s="319"/>
      <c r="X4" s="57"/>
      <c r="Y4" s="57"/>
      <c r="Z4" s="57"/>
    </row>
    <row r="5" spans="1:26" ht="13.5" customHeight="1">
      <c r="A5" s="57"/>
      <c r="B5" s="265" t="s">
        <v>907</v>
      </c>
      <c r="C5" s="259"/>
      <c r="D5" s="259"/>
      <c r="E5" s="259"/>
      <c r="F5" s="259"/>
      <c r="G5" s="259"/>
      <c r="H5" s="259"/>
      <c r="I5" s="259"/>
      <c r="J5" s="259"/>
      <c r="K5" s="260"/>
      <c r="L5" s="57"/>
      <c r="M5" s="324" t="s">
        <v>1161</v>
      </c>
      <c r="N5" s="328"/>
      <c r="O5" s="330"/>
      <c r="P5" s="328" t="s">
        <v>1168</v>
      </c>
      <c r="Q5" s="328"/>
      <c r="R5" s="330"/>
      <c r="S5" s="328" t="s">
        <v>1162</v>
      </c>
      <c r="T5" s="328"/>
      <c r="U5" s="328"/>
      <c r="V5" s="328"/>
      <c r="W5" s="319"/>
      <c r="X5" s="57"/>
      <c r="Y5" s="57"/>
      <c r="Z5" s="57"/>
    </row>
    <row r="6" spans="1:26" ht="13.5" customHeight="1">
      <c r="A6" s="57"/>
      <c r="B6" s="265" t="s">
        <v>908</v>
      </c>
      <c r="C6" s="259"/>
      <c r="D6" s="259"/>
      <c r="E6" s="259"/>
      <c r="F6" s="259"/>
      <c r="G6" s="259"/>
      <c r="H6" s="259"/>
      <c r="I6" s="259"/>
      <c r="J6" s="259"/>
      <c r="K6" s="260"/>
      <c r="L6" s="57"/>
      <c r="M6" s="324" t="s">
        <v>1169</v>
      </c>
      <c r="N6" s="326"/>
      <c r="O6" s="326"/>
      <c r="P6" s="328"/>
      <c r="Q6" s="326"/>
      <c r="R6" s="326"/>
      <c r="S6" s="326"/>
      <c r="T6" s="326"/>
      <c r="U6" s="328"/>
      <c r="V6" s="328"/>
      <c r="W6" s="319"/>
      <c r="X6" s="57"/>
      <c r="Y6" s="57"/>
      <c r="Z6" s="57"/>
    </row>
    <row r="7" spans="1:26" ht="13.5" customHeight="1">
      <c r="A7" s="57"/>
      <c r="B7" s="1848" t="s">
        <v>472</v>
      </c>
      <c r="C7" s="1849"/>
      <c r="D7" s="1849"/>
      <c r="E7" s="1849"/>
      <c r="F7" s="1849"/>
      <c r="G7" s="1849"/>
      <c r="H7" s="1849"/>
      <c r="I7" s="1849"/>
      <c r="J7" s="1849"/>
      <c r="K7" s="1850"/>
      <c r="L7" s="57"/>
      <c r="M7" s="324" t="s">
        <v>1291</v>
      </c>
      <c r="N7" s="326"/>
      <c r="O7" s="326"/>
      <c r="P7" s="326"/>
      <c r="Q7" s="326"/>
      <c r="R7" s="326"/>
      <c r="S7" s="326"/>
      <c r="T7" s="326"/>
      <c r="U7" s="326"/>
      <c r="V7" s="326"/>
      <c r="W7" s="327"/>
      <c r="X7" s="57"/>
      <c r="Y7" s="57"/>
      <c r="Z7" s="57"/>
    </row>
    <row r="8" spans="1:26" ht="13.5" customHeight="1">
      <c r="A8" s="57"/>
      <c r="B8" s="1848" t="s">
        <v>473</v>
      </c>
      <c r="C8" s="1849"/>
      <c r="D8" s="1849"/>
      <c r="E8" s="1849"/>
      <c r="F8" s="1849"/>
      <c r="G8" s="1849"/>
      <c r="H8" s="1849"/>
      <c r="I8" s="1849"/>
      <c r="J8" s="1849"/>
      <c r="K8" s="1850"/>
      <c r="L8" s="57"/>
      <c r="M8" s="324"/>
      <c r="N8" s="326"/>
      <c r="O8" s="326"/>
      <c r="P8" s="326"/>
      <c r="Q8" s="326"/>
      <c r="R8" s="326"/>
      <c r="S8" s="326"/>
      <c r="T8" s="326"/>
      <c r="U8" s="326"/>
      <c r="V8" s="326"/>
      <c r="W8" s="327"/>
      <c r="X8" s="57"/>
      <c r="Y8" s="57"/>
      <c r="Z8" s="57"/>
    </row>
    <row r="9" spans="1:26" ht="13.5" customHeight="1">
      <c r="A9" s="57"/>
      <c r="B9" s="1848" t="s">
        <v>931</v>
      </c>
      <c r="C9" s="1849"/>
      <c r="D9" s="1849"/>
      <c r="E9" s="1849"/>
      <c r="F9" s="1849"/>
      <c r="G9" s="1849"/>
      <c r="H9" s="1849"/>
      <c r="I9" s="1849"/>
      <c r="J9" s="1849"/>
      <c r="K9" s="1850"/>
      <c r="L9" s="57"/>
      <c r="M9" s="324"/>
      <c r="N9" s="326"/>
      <c r="O9" s="326"/>
      <c r="P9" s="326"/>
      <c r="Q9" s="326"/>
      <c r="R9" s="326"/>
      <c r="S9" s="326"/>
      <c r="T9" s="326"/>
      <c r="U9" s="326"/>
      <c r="V9" s="326"/>
      <c r="W9" s="327"/>
      <c r="X9" s="57"/>
      <c r="Y9" s="57"/>
      <c r="Z9" s="57"/>
    </row>
    <row r="10" spans="1:26" ht="13.5" customHeight="1">
      <c r="A10" s="57"/>
      <c r="B10" s="130" t="s">
        <v>932</v>
      </c>
      <c r="C10" s="256"/>
      <c r="D10" s="256"/>
      <c r="E10" s="256"/>
      <c r="F10" s="256"/>
      <c r="G10" s="256"/>
      <c r="H10" s="256"/>
      <c r="I10" s="256"/>
      <c r="J10" s="256"/>
      <c r="K10" s="257"/>
      <c r="L10" s="57"/>
      <c r="M10" s="129" t="s">
        <v>1166</v>
      </c>
      <c r="N10" s="328"/>
      <c r="O10" s="328">
        <v>8</v>
      </c>
      <c r="P10" s="328"/>
      <c r="Q10" s="328"/>
      <c r="R10" s="328"/>
      <c r="S10" s="328"/>
      <c r="T10" s="328"/>
      <c r="U10" s="328"/>
      <c r="V10" s="328"/>
      <c r="W10" s="329"/>
      <c r="X10" s="57"/>
      <c r="Y10" s="57"/>
      <c r="Z10" s="57"/>
    </row>
    <row r="11" spans="1:26" ht="13.5" customHeight="1">
      <c r="A11" s="57"/>
      <c r="B11" s="1848" t="s">
        <v>1002</v>
      </c>
      <c r="C11" s="1849"/>
      <c r="D11" s="1849"/>
      <c r="E11" s="1849"/>
      <c r="F11" s="1849"/>
      <c r="G11" s="1849"/>
      <c r="H11" s="1849"/>
      <c r="I11" s="1849"/>
      <c r="J11" s="1849"/>
      <c r="K11" s="1850"/>
      <c r="L11" s="57"/>
      <c r="M11" s="324" t="s">
        <v>1161</v>
      </c>
      <c r="N11" s="328"/>
      <c r="O11" s="330"/>
      <c r="P11" s="326" t="s">
        <v>1163</v>
      </c>
      <c r="Q11" s="328"/>
      <c r="R11" s="330"/>
      <c r="S11" s="328" t="s">
        <v>1162</v>
      </c>
      <c r="T11" s="328"/>
      <c r="U11" s="328"/>
      <c r="V11" s="328"/>
      <c r="W11" s="319"/>
      <c r="X11" s="57"/>
      <c r="Y11" s="57"/>
      <c r="Z11" s="57"/>
    </row>
    <row r="12" spans="1:26" ht="13.5" customHeight="1">
      <c r="A12" s="57"/>
      <c r="B12" s="1848" t="s">
        <v>1004</v>
      </c>
      <c r="C12" s="1849"/>
      <c r="D12" s="1849"/>
      <c r="E12" s="1849"/>
      <c r="F12" s="1849"/>
      <c r="G12" s="1849"/>
      <c r="H12" s="1849"/>
      <c r="I12" s="1849"/>
      <c r="J12" s="1849"/>
      <c r="K12" s="1850"/>
      <c r="L12" s="57"/>
      <c r="M12" s="324" t="s">
        <v>1170</v>
      </c>
      <c r="N12" s="326"/>
      <c r="O12" s="326"/>
      <c r="P12" s="326" t="s">
        <v>825</v>
      </c>
      <c r="Q12" s="326"/>
      <c r="R12" s="326"/>
      <c r="S12" s="326"/>
      <c r="T12" s="326"/>
      <c r="U12" s="328"/>
      <c r="V12" s="328"/>
      <c r="W12" s="319"/>
      <c r="X12" s="57"/>
      <c r="Y12" s="57"/>
      <c r="Z12" s="57"/>
    </row>
    <row r="13" spans="1:26" ht="13.5" customHeight="1">
      <c r="A13" s="57"/>
      <c r="B13" s="119"/>
      <c r="C13" s="120"/>
      <c r="D13" s="120"/>
      <c r="E13" s="120"/>
      <c r="F13" s="120"/>
      <c r="G13" s="120"/>
      <c r="H13" s="120"/>
      <c r="I13" s="120"/>
      <c r="J13" s="120"/>
      <c r="K13" s="121"/>
      <c r="L13" s="57"/>
      <c r="M13" s="324"/>
      <c r="N13" s="326"/>
      <c r="O13" s="326"/>
      <c r="P13" s="326"/>
      <c r="Q13" s="326"/>
      <c r="R13" s="326"/>
      <c r="S13" s="326"/>
      <c r="T13" s="326"/>
      <c r="U13" s="326"/>
      <c r="V13" s="326"/>
      <c r="W13" s="327"/>
      <c r="X13" s="57"/>
      <c r="Y13" s="57"/>
      <c r="Z13" s="57"/>
    </row>
    <row r="14" spans="1:26" ht="13.5" customHeight="1">
      <c r="A14" s="57"/>
      <c r="B14" s="1848" t="s">
        <v>914</v>
      </c>
      <c r="C14" s="1849"/>
      <c r="D14" s="1849"/>
      <c r="E14" s="1849"/>
      <c r="F14" s="1849"/>
      <c r="G14" s="1849"/>
      <c r="H14" s="1849"/>
      <c r="I14" s="1849"/>
      <c r="J14" s="1849"/>
      <c r="K14" s="1850"/>
      <c r="L14" s="57"/>
      <c r="M14" s="324"/>
      <c r="N14" s="326"/>
      <c r="O14" s="326"/>
      <c r="P14" s="320"/>
      <c r="Q14" s="326"/>
      <c r="R14" s="326"/>
      <c r="S14" s="326"/>
      <c r="T14" s="326"/>
      <c r="U14" s="326"/>
      <c r="V14" s="326"/>
      <c r="W14" s="327"/>
      <c r="X14" s="57"/>
      <c r="Y14" s="57"/>
      <c r="Z14" s="57"/>
    </row>
    <row r="15" spans="1:26" ht="13.5" customHeight="1">
      <c r="A15" s="57"/>
      <c r="B15" s="119"/>
      <c r="C15" s="120"/>
      <c r="D15" s="120"/>
      <c r="E15" s="120"/>
      <c r="F15" s="120"/>
      <c r="G15" s="120"/>
      <c r="H15" s="120"/>
      <c r="I15" s="120"/>
      <c r="J15" s="120"/>
      <c r="K15" s="121"/>
      <c r="L15" s="57"/>
      <c r="M15" s="321" t="s">
        <v>1173</v>
      </c>
      <c r="N15" s="326"/>
      <c r="O15" s="328">
        <v>6</v>
      </c>
      <c r="P15" s="326"/>
      <c r="Q15" s="326"/>
      <c r="R15" s="326"/>
      <c r="S15" s="326"/>
      <c r="T15" s="326"/>
      <c r="U15" s="326"/>
      <c r="V15" s="326"/>
      <c r="W15" s="327"/>
      <c r="X15" s="96"/>
      <c r="Y15" s="96"/>
      <c r="Z15" s="96"/>
    </row>
    <row r="16" spans="1:26" ht="13.5" customHeight="1">
      <c r="A16" s="57"/>
      <c r="B16" s="119"/>
      <c r="C16" s="120"/>
      <c r="D16" s="120"/>
      <c r="E16" s="120"/>
      <c r="F16" s="120"/>
      <c r="G16" s="120"/>
      <c r="H16" s="120"/>
      <c r="I16" s="120"/>
      <c r="J16" s="120"/>
      <c r="K16" s="121"/>
      <c r="L16" s="57"/>
      <c r="M16" s="324" t="s">
        <v>1161</v>
      </c>
      <c r="N16" s="326"/>
      <c r="O16" s="326"/>
      <c r="P16" s="326" t="s">
        <v>1167</v>
      </c>
      <c r="Q16" s="326"/>
      <c r="R16" s="326"/>
      <c r="S16" s="326" t="s">
        <v>1162</v>
      </c>
      <c r="T16" s="326"/>
      <c r="U16" s="326"/>
      <c r="V16" s="326"/>
      <c r="W16" s="327"/>
      <c r="X16" s="59"/>
      <c r="Y16" s="59"/>
      <c r="Z16" s="59"/>
    </row>
    <row r="17" spans="1:26" ht="13.5">
      <c r="A17" s="57"/>
      <c r="B17" s="1851" t="s">
        <v>474</v>
      </c>
      <c r="C17" s="1852"/>
      <c r="D17" s="1852"/>
      <c r="E17" s="1852"/>
      <c r="F17" s="1852"/>
      <c r="G17" s="1852"/>
      <c r="H17" s="1852"/>
      <c r="I17" s="1852"/>
      <c r="J17" s="1852"/>
      <c r="K17" s="1853"/>
      <c r="L17" s="57"/>
      <c r="M17" s="324" t="s">
        <v>826</v>
      </c>
      <c r="N17" s="326"/>
      <c r="O17" s="326"/>
      <c r="P17" s="326" t="s">
        <v>827</v>
      </c>
      <c r="Q17" s="326"/>
      <c r="R17" s="326"/>
      <c r="S17" s="326"/>
      <c r="T17" s="326"/>
      <c r="U17" s="326"/>
      <c r="V17" s="326"/>
      <c r="W17" s="327"/>
      <c r="X17" s="59"/>
      <c r="Y17" s="59"/>
      <c r="Z17" s="59"/>
    </row>
    <row r="18" spans="1:26" ht="13.5">
      <c r="A18" s="57"/>
      <c r="B18" s="1854" t="s">
        <v>924</v>
      </c>
      <c r="C18" s="1855"/>
      <c r="D18" s="1855"/>
      <c r="E18" s="1855"/>
      <c r="F18" s="1855"/>
      <c r="G18" s="1855"/>
      <c r="H18" s="1855"/>
      <c r="I18" s="1855"/>
      <c r="J18" s="1855"/>
      <c r="K18" s="1856"/>
      <c r="L18" s="57"/>
      <c r="M18" s="324"/>
      <c r="N18" s="326"/>
      <c r="O18" s="326"/>
      <c r="P18" s="326"/>
      <c r="Q18" s="326"/>
      <c r="R18" s="326"/>
      <c r="S18" s="326"/>
      <c r="T18" s="326"/>
      <c r="U18" s="326"/>
      <c r="V18" s="326"/>
      <c r="W18" s="322"/>
      <c r="X18" s="67"/>
      <c r="Y18" s="67"/>
      <c r="Z18" s="67"/>
    </row>
    <row r="19" spans="1:26" ht="13.5">
      <c r="A19" s="57"/>
      <c r="B19" s="126" t="s">
        <v>475</v>
      </c>
      <c r="C19" s="123" t="s">
        <v>476</v>
      </c>
      <c r="D19" s="123"/>
      <c r="E19" s="123"/>
      <c r="F19" s="123"/>
      <c r="G19" s="123"/>
      <c r="H19" s="123"/>
      <c r="I19" s="123"/>
      <c r="J19" s="123"/>
      <c r="K19" s="124"/>
      <c r="L19" s="57"/>
      <c r="M19" s="325"/>
      <c r="N19" s="328"/>
      <c r="O19" s="328"/>
      <c r="P19" s="328"/>
      <c r="Q19" s="328"/>
      <c r="R19" s="328"/>
      <c r="S19" s="328"/>
      <c r="T19" s="328"/>
      <c r="U19" s="326"/>
      <c r="V19" s="326"/>
      <c r="W19" s="327"/>
      <c r="X19" s="57"/>
      <c r="Y19" s="57"/>
      <c r="Z19" s="57"/>
    </row>
    <row r="20" spans="1:26" ht="13.5">
      <c r="A20" s="57"/>
      <c r="B20" s="127" t="s">
        <v>480</v>
      </c>
      <c r="C20" s="123"/>
      <c r="D20" s="123"/>
      <c r="E20" s="123"/>
      <c r="F20" s="123"/>
      <c r="G20" s="123"/>
      <c r="H20" s="123"/>
      <c r="I20" s="123"/>
      <c r="J20" s="123"/>
      <c r="K20" s="124"/>
      <c r="L20" s="57"/>
      <c r="M20" s="129" t="s">
        <v>1171</v>
      </c>
      <c r="N20" s="328"/>
      <c r="O20" s="328">
        <v>5</v>
      </c>
      <c r="P20" s="328"/>
      <c r="Q20" s="328"/>
      <c r="R20" s="328"/>
      <c r="S20" s="328"/>
      <c r="T20" s="328"/>
      <c r="U20" s="328"/>
      <c r="V20" s="328"/>
      <c r="W20" s="329"/>
      <c r="X20" s="57"/>
      <c r="Y20" s="57"/>
      <c r="Z20" s="57"/>
    </row>
    <row r="21" spans="1:26" ht="13.5">
      <c r="A21" s="57"/>
      <c r="B21" s="265" t="s">
        <v>0</v>
      </c>
      <c r="C21" s="123"/>
      <c r="D21" s="123"/>
      <c r="E21" s="123"/>
      <c r="F21" s="123"/>
      <c r="G21" s="123"/>
      <c r="H21" s="123"/>
      <c r="I21" s="123"/>
      <c r="J21" s="123"/>
      <c r="K21" s="124"/>
      <c r="L21" s="57"/>
      <c r="M21" s="324" t="s">
        <v>1161</v>
      </c>
      <c r="N21" s="328"/>
      <c r="O21" s="328"/>
      <c r="P21" s="328" t="s">
        <v>1193</v>
      </c>
      <c r="Q21" s="328"/>
      <c r="R21" s="328"/>
      <c r="S21" s="328" t="s">
        <v>1226</v>
      </c>
      <c r="T21" s="328"/>
      <c r="U21" s="328"/>
      <c r="V21" s="328"/>
      <c r="W21" s="329"/>
      <c r="X21" s="57"/>
      <c r="Y21" s="57"/>
      <c r="Z21" s="57"/>
    </row>
    <row r="22" spans="1:26" ht="13.5">
      <c r="A22" s="57"/>
      <c r="B22" s="265"/>
      <c r="C22" s="123"/>
      <c r="D22" s="123"/>
      <c r="E22" s="123"/>
      <c r="F22" s="123"/>
      <c r="G22" s="123"/>
      <c r="H22" s="123"/>
      <c r="I22" s="123"/>
      <c r="J22" s="123"/>
      <c r="K22" s="124"/>
      <c r="L22" s="57"/>
      <c r="M22" s="324"/>
      <c r="N22" s="328"/>
      <c r="O22" s="328"/>
      <c r="P22" s="328"/>
      <c r="Q22" s="328"/>
      <c r="R22" s="328"/>
      <c r="S22" s="328"/>
      <c r="T22" s="328"/>
      <c r="U22" s="328"/>
      <c r="V22" s="328"/>
      <c r="W22" s="329"/>
      <c r="X22" s="57"/>
      <c r="Y22" s="57"/>
      <c r="Z22" s="57"/>
    </row>
    <row r="23" spans="1:26" ht="13.5">
      <c r="A23" s="57"/>
      <c r="B23" s="122" t="s">
        <v>940</v>
      </c>
      <c r="C23" s="123"/>
      <c r="D23" s="123"/>
      <c r="E23" s="123"/>
      <c r="F23" s="123"/>
      <c r="G23" s="123"/>
      <c r="H23" s="123"/>
      <c r="I23" s="123"/>
      <c r="J23" s="123"/>
      <c r="K23" s="124"/>
      <c r="L23" s="57"/>
      <c r="M23" s="325"/>
      <c r="N23" s="328"/>
      <c r="O23" s="328"/>
      <c r="P23" s="328"/>
      <c r="Q23" s="328"/>
      <c r="R23" s="328"/>
      <c r="S23" s="328"/>
      <c r="T23" s="328"/>
      <c r="U23" s="328"/>
      <c r="V23" s="328"/>
      <c r="W23" s="329"/>
      <c r="X23" s="57"/>
      <c r="Y23" s="57"/>
      <c r="Z23" s="57"/>
    </row>
    <row r="24" spans="1:26" ht="13.5">
      <c r="A24" s="57"/>
      <c r="B24" s="122" t="s">
        <v>341</v>
      </c>
      <c r="C24" s="123"/>
      <c r="D24" s="123"/>
      <c r="E24" s="123"/>
      <c r="F24" s="123"/>
      <c r="G24" s="123"/>
      <c r="H24" s="123"/>
      <c r="I24" s="123"/>
      <c r="J24" s="123"/>
      <c r="K24" s="124"/>
      <c r="L24" s="57"/>
      <c r="M24" s="129" t="s">
        <v>1172</v>
      </c>
      <c r="N24" s="328"/>
      <c r="O24" s="328">
        <v>5</v>
      </c>
      <c r="P24" s="328"/>
      <c r="Q24" s="328"/>
      <c r="R24" s="328"/>
      <c r="S24" s="328"/>
      <c r="T24" s="328"/>
      <c r="U24" s="328"/>
      <c r="V24" s="328"/>
      <c r="W24" s="329"/>
      <c r="X24" s="57"/>
      <c r="Y24" s="57"/>
      <c r="Z24" s="57"/>
    </row>
    <row r="25" spans="1:26" ht="13.5">
      <c r="A25" s="57"/>
      <c r="B25" s="122" t="s">
        <v>342</v>
      </c>
      <c r="C25" s="123"/>
      <c r="D25" s="123"/>
      <c r="E25" s="123"/>
      <c r="F25" s="123"/>
      <c r="G25" s="123"/>
      <c r="H25" s="123"/>
      <c r="I25" s="123"/>
      <c r="J25" s="123"/>
      <c r="K25" s="124"/>
      <c r="L25" s="57"/>
      <c r="M25" s="265" t="s">
        <v>1174</v>
      </c>
      <c r="N25" s="328"/>
      <c r="O25" s="328"/>
      <c r="P25" s="328" t="s">
        <v>1193</v>
      </c>
      <c r="Q25" s="328"/>
      <c r="R25" s="328"/>
      <c r="S25" s="328" t="s">
        <v>1226</v>
      </c>
      <c r="T25" s="328"/>
      <c r="U25" s="328"/>
      <c r="V25" s="328"/>
      <c r="W25" s="329"/>
      <c r="X25" s="57"/>
      <c r="Y25" s="57"/>
      <c r="Z25" s="57"/>
    </row>
    <row r="26" spans="1:26" ht="13.5">
      <c r="A26" s="57"/>
      <c r="B26" s="122" t="s">
        <v>933</v>
      </c>
      <c r="C26" s="123"/>
      <c r="D26" s="123"/>
      <c r="E26" s="123"/>
      <c r="F26" s="123"/>
      <c r="G26" s="123"/>
      <c r="H26" s="123"/>
      <c r="I26" s="123"/>
      <c r="J26" s="123"/>
      <c r="K26" s="124"/>
      <c r="L26" s="57"/>
      <c r="M26" s="325"/>
      <c r="N26" s="328"/>
      <c r="O26" s="328"/>
      <c r="P26" s="328"/>
      <c r="Q26" s="328"/>
      <c r="R26" s="328"/>
      <c r="S26" s="328"/>
      <c r="T26" s="328"/>
      <c r="U26" s="328"/>
      <c r="V26" s="328"/>
      <c r="W26" s="329"/>
      <c r="X26" s="57"/>
      <c r="Y26" s="57"/>
      <c r="Z26" s="57"/>
    </row>
    <row r="27" spans="1:26" ht="13.5">
      <c r="A27" s="57"/>
      <c r="B27" s="122" t="s">
        <v>481</v>
      </c>
      <c r="C27" s="123"/>
      <c r="D27" s="128" t="s">
        <v>482</v>
      </c>
      <c r="E27" s="123" t="s">
        <v>483</v>
      </c>
      <c r="F27" s="123"/>
      <c r="G27" s="123"/>
      <c r="H27" s="123"/>
      <c r="I27" s="123"/>
      <c r="J27" s="123"/>
      <c r="K27" s="124"/>
      <c r="L27" s="57"/>
      <c r="M27" s="325"/>
      <c r="N27" s="328"/>
      <c r="O27" s="328"/>
      <c r="P27" s="334"/>
      <c r="Q27" s="328"/>
      <c r="R27" s="328"/>
      <c r="S27" s="328"/>
      <c r="T27" s="328"/>
      <c r="U27" s="328"/>
      <c r="V27" s="328"/>
      <c r="W27" s="329"/>
      <c r="X27" s="57"/>
      <c r="Y27" s="57"/>
      <c r="Z27" s="57"/>
    </row>
    <row r="28" spans="1:26" ht="13.5">
      <c r="A28" s="57"/>
      <c r="B28" s="126" t="s">
        <v>475</v>
      </c>
      <c r="C28" s="123" t="s">
        <v>1297</v>
      </c>
      <c r="D28" s="123"/>
      <c r="E28" s="123"/>
      <c r="F28" s="123"/>
      <c r="G28" s="123"/>
      <c r="H28" s="123"/>
      <c r="I28" s="123"/>
      <c r="J28" s="123"/>
      <c r="K28" s="124"/>
      <c r="L28" s="57"/>
      <c r="M28" s="129" t="s">
        <v>1175</v>
      </c>
      <c r="N28" s="328"/>
      <c r="O28" s="123" t="s">
        <v>1292</v>
      </c>
      <c r="P28" s="328"/>
      <c r="Q28" s="328"/>
      <c r="R28" s="328"/>
      <c r="S28" s="328"/>
      <c r="T28" s="328"/>
      <c r="U28" s="328"/>
      <c r="V28" s="328"/>
      <c r="W28" s="329"/>
      <c r="X28" s="57"/>
      <c r="Y28" s="57"/>
      <c r="Z28" s="57"/>
    </row>
    <row r="29" spans="1:26" ht="13.5">
      <c r="A29" s="57"/>
      <c r="B29" s="122"/>
      <c r="C29" s="123"/>
      <c r="D29" s="123"/>
      <c r="E29" s="123"/>
      <c r="F29" s="123"/>
      <c r="G29" s="123"/>
      <c r="H29" s="123"/>
      <c r="I29" s="123"/>
      <c r="J29" s="123"/>
      <c r="K29" s="124"/>
      <c r="L29" s="57"/>
      <c r="M29" s="325" t="s">
        <v>1176</v>
      </c>
      <c r="N29" s="328"/>
      <c r="O29" s="328"/>
      <c r="P29" s="328" t="s">
        <v>1177</v>
      </c>
      <c r="Q29" s="328"/>
      <c r="R29" s="328"/>
      <c r="S29" s="328" t="s">
        <v>1178</v>
      </c>
      <c r="T29" s="328"/>
      <c r="U29" s="328"/>
      <c r="V29" s="328"/>
      <c r="W29" s="329"/>
      <c r="X29" s="57"/>
      <c r="Y29" s="57"/>
      <c r="Z29" s="57"/>
    </row>
    <row r="30" spans="1:26" ht="13.5">
      <c r="A30" s="57"/>
      <c r="B30" s="122" t="s">
        <v>484</v>
      </c>
      <c r="C30" s="123"/>
      <c r="D30" s="123"/>
      <c r="E30" s="312"/>
      <c r="F30" s="123"/>
      <c r="G30" s="123"/>
      <c r="H30" s="123"/>
      <c r="I30" s="123"/>
      <c r="J30" s="123"/>
      <c r="K30" s="124"/>
      <c r="L30" s="57"/>
      <c r="M30" s="325" t="s">
        <v>1185</v>
      </c>
      <c r="N30" s="328"/>
      <c r="O30" s="328"/>
      <c r="P30" s="328"/>
      <c r="Q30" s="328"/>
      <c r="R30" s="328"/>
      <c r="S30" s="328"/>
      <c r="T30" s="328"/>
      <c r="U30" s="328"/>
      <c r="V30" s="328"/>
      <c r="W30" s="329"/>
      <c r="X30" s="57"/>
      <c r="Y30" s="57"/>
      <c r="Z30" s="57"/>
    </row>
    <row r="31" spans="1:26" ht="13.5">
      <c r="A31" s="57"/>
      <c r="B31" s="122" t="s">
        <v>925</v>
      </c>
      <c r="C31" s="123"/>
      <c r="D31" s="123"/>
      <c r="E31" s="123"/>
      <c r="F31" s="123"/>
      <c r="G31" s="123"/>
      <c r="H31" s="123"/>
      <c r="I31" s="123"/>
      <c r="J31" s="123"/>
      <c r="K31" s="124"/>
      <c r="L31" s="57"/>
      <c r="M31" s="325"/>
      <c r="N31" s="328"/>
      <c r="O31" s="328"/>
      <c r="P31" s="328"/>
      <c r="Q31" s="328"/>
      <c r="R31" s="328"/>
      <c r="S31" s="328"/>
      <c r="T31" s="328"/>
      <c r="U31" s="328"/>
      <c r="V31" s="328"/>
      <c r="W31" s="329"/>
      <c r="X31" s="57"/>
      <c r="Y31" s="57"/>
      <c r="Z31" s="57"/>
    </row>
    <row r="32" spans="1:26" ht="13.5" customHeight="1">
      <c r="A32" s="57"/>
      <c r="B32" s="122" t="s">
        <v>926</v>
      </c>
      <c r="C32" s="123"/>
      <c r="D32" s="123"/>
      <c r="E32" s="123"/>
      <c r="F32" s="123"/>
      <c r="G32" s="123"/>
      <c r="H32" s="123"/>
      <c r="I32" s="123"/>
      <c r="J32" s="123"/>
      <c r="K32" s="124"/>
      <c r="L32" s="57"/>
      <c r="M32" s="129"/>
      <c r="N32" s="328"/>
      <c r="O32" s="328"/>
      <c r="P32" s="328"/>
      <c r="Q32" s="328"/>
      <c r="R32" s="328"/>
      <c r="S32" s="328"/>
      <c r="T32" s="328"/>
      <c r="U32" s="328"/>
      <c r="V32" s="328"/>
      <c r="W32" s="329"/>
      <c r="X32" s="57"/>
      <c r="Y32" s="57"/>
      <c r="Z32" s="57"/>
    </row>
    <row r="33" spans="1:26" ht="13.5" customHeight="1">
      <c r="A33" s="57"/>
      <c r="B33" s="122" t="s">
        <v>927</v>
      </c>
      <c r="C33" s="123"/>
      <c r="D33" s="123"/>
      <c r="E33" s="123"/>
      <c r="F33" s="123"/>
      <c r="G33" s="123"/>
      <c r="H33" s="123"/>
      <c r="I33" s="123"/>
      <c r="J33" s="123"/>
      <c r="K33" s="124"/>
      <c r="L33" s="57"/>
      <c r="M33" s="129" t="s">
        <v>1179</v>
      </c>
      <c r="N33" s="328"/>
      <c r="O33" s="328" t="s">
        <v>1233</v>
      </c>
      <c r="P33" s="328"/>
      <c r="Q33" s="328"/>
      <c r="R33" s="328"/>
      <c r="S33" s="328"/>
      <c r="T33" s="328"/>
      <c r="U33" s="328"/>
      <c r="V33" s="328"/>
      <c r="W33" s="329"/>
      <c r="X33" s="57"/>
      <c r="Y33" s="57"/>
      <c r="Z33" s="57"/>
    </row>
    <row r="34" spans="1:26" ht="13.5">
      <c r="A34" s="57"/>
      <c r="B34" s="122"/>
      <c r="C34" s="123"/>
      <c r="D34" s="123"/>
      <c r="E34" s="123"/>
      <c r="F34" s="123"/>
      <c r="G34" s="123"/>
      <c r="H34" s="123"/>
      <c r="I34" s="123"/>
      <c r="J34" s="123"/>
      <c r="K34" s="124"/>
      <c r="L34" s="57"/>
      <c r="M34" s="325" t="s">
        <v>1177</v>
      </c>
      <c r="N34" s="328"/>
      <c r="O34" s="328"/>
      <c r="P34" s="328" t="s">
        <v>1180</v>
      </c>
      <c r="Q34" s="328"/>
      <c r="R34" s="328"/>
      <c r="S34" s="328" t="s">
        <v>1182</v>
      </c>
      <c r="T34" s="328"/>
      <c r="U34" s="328"/>
      <c r="V34" s="328"/>
      <c r="W34" s="329"/>
      <c r="X34" s="57"/>
      <c r="Y34" s="57"/>
      <c r="Z34" s="57"/>
    </row>
    <row r="35" spans="1:26" ht="13.5">
      <c r="A35" s="57"/>
      <c r="B35" s="444" t="s">
        <v>1298</v>
      </c>
      <c r="C35" s="123"/>
      <c r="D35" s="123"/>
      <c r="E35" s="123"/>
      <c r="F35" s="123"/>
      <c r="G35" s="123"/>
      <c r="H35" s="123"/>
      <c r="I35" s="123"/>
      <c r="J35" s="123"/>
      <c r="K35" s="124"/>
      <c r="L35" s="57"/>
      <c r="M35" s="325" t="s">
        <v>1181</v>
      </c>
      <c r="N35" s="328"/>
      <c r="O35" s="328"/>
      <c r="P35" s="328" t="s">
        <v>1183</v>
      </c>
      <c r="Q35" s="328"/>
      <c r="R35" s="328"/>
      <c r="S35" s="328"/>
      <c r="T35" s="328"/>
      <c r="U35" s="328"/>
      <c r="V35" s="328"/>
      <c r="W35" s="322"/>
      <c r="X35" s="57"/>
      <c r="Y35" s="57"/>
      <c r="Z35" s="57"/>
    </row>
    <row r="36" spans="1:26" ht="13.5">
      <c r="A36" s="57"/>
      <c r="B36" s="470" t="s">
        <v>1332</v>
      </c>
      <c r="C36" s="123" t="s">
        <v>224</v>
      </c>
      <c r="D36" s="123"/>
      <c r="E36" s="123"/>
      <c r="F36" s="123"/>
      <c r="G36" s="123"/>
      <c r="H36" s="123"/>
      <c r="I36" s="123"/>
      <c r="J36" s="123"/>
      <c r="K36" s="124"/>
      <c r="L36" s="57"/>
      <c r="M36" s="325"/>
      <c r="N36" s="328"/>
      <c r="O36" s="328"/>
      <c r="P36" s="328"/>
      <c r="Q36" s="328"/>
      <c r="R36" s="328"/>
      <c r="S36" s="328"/>
      <c r="T36" s="328"/>
      <c r="U36" s="328"/>
      <c r="V36" s="328"/>
      <c r="W36" s="329"/>
      <c r="X36" s="57"/>
      <c r="Y36" s="57"/>
      <c r="Z36" s="57"/>
    </row>
    <row r="37" spans="1:26" ht="13.5">
      <c r="A37" s="57"/>
      <c r="B37" s="444" t="s">
        <v>180</v>
      </c>
      <c r="C37" s="123"/>
      <c r="D37" s="123"/>
      <c r="E37" s="123"/>
      <c r="F37" s="123"/>
      <c r="G37" s="123"/>
      <c r="H37" s="123"/>
      <c r="I37" s="123"/>
      <c r="J37" s="123"/>
      <c r="K37" s="124"/>
      <c r="L37" s="57"/>
      <c r="M37" s="129"/>
      <c r="N37" s="328"/>
      <c r="O37" s="328"/>
      <c r="P37" s="328"/>
      <c r="Q37" s="328"/>
      <c r="R37" s="328"/>
      <c r="S37" s="328"/>
      <c r="T37" s="328"/>
      <c r="U37" s="328"/>
      <c r="V37" s="328"/>
      <c r="W37" s="329"/>
      <c r="X37" s="57"/>
      <c r="Y37" s="57"/>
      <c r="Z37" s="57"/>
    </row>
    <row r="38" spans="1:26" ht="13.5">
      <c r="A38" s="57"/>
      <c r="B38" s="122"/>
      <c r="C38" s="123"/>
      <c r="D38" s="123"/>
      <c r="E38" s="312"/>
      <c r="F38" s="123"/>
      <c r="G38" s="123"/>
      <c r="H38" s="123"/>
      <c r="I38" s="123"/>
      <c r="J38" s="123"/>
      <c r="K38" s="124"/>
      <c r="L38" s="57"/>
      <c r="M38" s="129" t="s">
        <v>1186</v>
      </c>
      <c r="N38" s="331"/>
      <c r="O38" s="328">
        <v>4</v>
      </c>
      <c r="P38" s="328"/>
      <c r="Q38" s="328"/>
      <c r="R38" s="328"/>
      <c r="S38" s="328"/>
      <c r="T38" s="328"/>
      <c r="U38" s="328"/>
      <c r="V38" s="328"/>
      <c r="W38" s="329"/>
      <c r="X38" s="57"/>
      <c r="Y38" s="57"/>
      <c r="Z38" s="57"/>
    </row>
    <row r="39" spans="1:26" ht="13.5">
      <c r="A39" s="57"/>
      <c r="B39" s="122" t="s">
        <v>1299</v>
      </c>
      <c r="C39" s="123"/>
      <c r="D39" s="123"/>
      <c r="E39" s="312"/>
      <c r="F39" s="123"/>
      <c r="G39" s="123"/>
      <c r="H39" s="123"/>
      <c r="I39" s="123"/>
      <c r="J39" s="123"/>
      <c r="K39" s="124"/>
      <c r="L39" s="57"/>
      <c r="M39" s="325" t="s">
        <v>1161</v>
      </c>
      <c r="N39" s="328"/>
      <c r="O39" s="328"/>
      <c r="P39" s="328" t="s">
        <v>1188</v>
      </c>
      <c r="Q39" s="328"/>
      <c r="R39" s="328"/>
      <c r="S39" s="758" t="s">
        <v>1187</v>
      </c>
      <c r="T39" s="328"/>
      <c r="U39" s="328"/>
      <c r="V39" s="328"/>
      <c r="W39" s="329"/>
      <c r="X39" s="57"/>
      <c r="Y39" s="57"/>
      <c r="Z39" s="57"/>
    </row>
    <row r="40" spans="1:26" ht="13.5">
      <c r="A40" s="57"/>
      <c r="B40" s="122" t="s">
        <v>1302</v>
      </c>
      <c r="C40" s="123"/>
      <c r="D40" s="123"/>
      <c r="E40" s="312"/>
      <c r="F40" s="123"/>
      <c r="G40" s="123"/>
      <c r="H40" s="123"/>
      <c r="I40" s="123"/>
      <c r="J40" s="123"/>
      <c r="K40" s="124"/>
      <c r="L40" s="57"/>
      <c r="M40" s="325" t="s">
        <v>919</v>
      </c>
      <c r="N40" s="328"/>
      <c r="O40" s="328"/>
      <c r="P40" s="328"/>
      <c r="Q40" s="328"/>
      <c r="R40" s="328"/>
      <c r="S40" s="758"/>
      <c r="T40" s="328"/>
      <c r="U40" s="328"/>
      <c r="V40" s="328"/>
      <c r="W40" s="329"/>
      <c r="X40" s="57"/>
      <c r="Y40" s="57"/>
      <c r="Z40" s="57"/>
    </row>
    <row r="41" spans="1:26" ht="13.5">
      <c r="A41" s="57"/>
      <c r="B41" s="122" t="s">
        <v>1300</v>
      </c>
      <c r="C41" s="123"/>
      <c r="D41" s="123"/>
      <c r="E41" s="312"/>
      <c r="F41" s="123"/>
      <c r="G41" s="123"/>
      <c r="H41" s="123"/>
      <c r="I41" s="123"/>
      <c r="J41" s="123"/>
      <c r="K41" s="124"/>
      <c r="L41" s="57"/>
      <c r="M41" s="129"/>
      <c r="N41" s="328"/>
      <c r="O41" s="328"/>
      <c r="P41" s="328"/>
      <c r="Q41" s="328"/>
      <c r="R41" s="328"/>
      <c r="S41" s="328"/>
      <c r="T41" s="328"/>
      <c r="U41" s="328"/>
      <c r="V41" s="328"/>
      <c r="W41" s="329"/>
      <c r="X41" s="57"/>
      <c r="Y41" s="57"/>
      <c r="Z41" s="57"/>
    </row>
    <row r="42" spans="1:26" ht="13.5">
      <c r="A42" s="57"/>
      <c r="B42" s="122" t="s">
        <v>1301</v>
      </c>
      <c r="C42" s="123"/>
      <c r="D42" s="123"/>
      <c r="E42" s="312"/>
      <c r="F42" s="123"/>
      <c r="G42" s="123"/>
      <c r="H42" s="123"/>
      <c r="I42" s="123"/>
      <c r="J42" s="123"/>
      <c r="K42" s="124"/>
      <c r="L42" s="57"/>
      <c r="M42" s="129"/>
      <c r="N42" s="328"/>
      <c r="O42" s="328"/>
      <c r="P42" s="328"/>
      <c r="Q42" s="328"/>
      <c r="R42" s="328"/>
      <c r="S42" s="328"/>
      <c r="T42" s="328"/>
      <c r="U42" s="328"/>
      <c r="V42" s="328"/>
      <c r="W42" s="329"/>
      <c r="X42" s="57"/>
      <c r="Y42" s="57"/>
      <c r="Z42" s="57"/>
    </row>
    <row r="43" spans="1:26" ht="13.5" customHeight="1">
      <c r="A43" s="57"/>
      <c r="B43" s="122"/>
      <c r="C43" s="123"/>
      <c r="D43" s="123"/>
      <c r="E43" s="312"/>
      <c r="F43" s="123"/>
      <c r="G43" s="123"/>
      <c r="H43" s="123"/>
      <c r="I43" s="123"/>
      <c r="J43" s="123"/>
      <c r="K43" s="124"/>
      <c r="L43" s="57"/>
      <c r="M43" s="129" t="s">
        <v>1189</v>
      </c>
      <c r="N43" s="328"/>
      <c r="O43" s="328">
        <v>5</v>
      </c>
      <c r="P43" s="328"/>
      <c r="Q43" s="328"/>
      <c r="R43" s="328"/>
      <c r="S43" s="328"/>
      <c r="T43" s="328"/>
      <c r="U43" s="328"/>
      <c r="V43" s="328"/>
      <c r="W43" s="329"/>
      <c r="X43" s="57"/>
      <c r="Y43" s="57"/>
      <c r="Z43" s="57"/>
    </row>
    <row r="44" spans="1:26" ht="13.5">
      <c r="A44" s="57"/>
      <c r="B44" s="122"/>
      <c r="C44" s="123"/>
      <c r="D44" s="123"/>
      <c r="E44" s="123"/>
      <c r="F44" s="123"/>
      <c r="G44" s="123"/>
      <c r="H44" s="123"/>
      <c r="I44" s="123"/>
      <c r="J44" s="123"/>
      <c r="K44" s="124"/>
      <c r="L44" s="57"/>
      <c r="M44" s="325" t="s">
        <v>1161</v>
      </c>
      <c r="N44" s="328"/>
      <c r="O44" s="328"/>
      <c r="P44" s="328" t="s">
        <v>1188</v>
      </c>
      <c r="Q44" s="328"/>
      <c r="R44" s="328"/>
      <c r="S44" s="330" t="s">
        <v>1190</v>
      </c>
      <c r="T44" s="328"/>
      <c r="U44" s="328"/>
      <c r="V44" s="328"/>
      <c r="W44" s="329"/>
      <c r="X44" s="59"/>
      <c r="Y44" s="59"/>
      <c r="Z44" s="59"/>
    </row>
    <row r="45" spans="1:26" ht="13.5">
      <c r="A45" s="57"/>
      <c r="B45" s="1851" t="s">
        <v>941</v>
      </c>
      <c r="C45" s="1852"/>
      <c r="D45" s="1852"/>
      <c r="E45" s="1852"/>
      <c r="F45" s="1852"/>
      <c r="G45" s="1852"/>
      <c r="H45" s="1852"/>
      <c r="I45" s="1852"/>
      <c r="J45" s="1852"/>
      <c r="K45" s="1853"/>
      <c r="L45" s="57"/>
      <c r="M45" s="325"/>
      <c r="N45" s="328"/>
      <c r="O45" s="328"/>
      <c r="P45" s="328"/>
      <c r="Q45" s="328"/>
      <c r="R45" s="328"/>
      <c r="S45" s="328"/>
      <c r="T45" s="328"/>
      <c r="U45" s="328"/>
      <c r="V45" s="328"/>
      <c r="W45" s="329"/>
      <c r="X45" s="59"/>
      <c r="Y45" s="59"/>
      <c r="Z45" s="59"/>
    </row>
    <row r="46" spans="1:26" ht="13.5">
      <c r="A46" s="57"/>
      <c r="B46" s="122" t="s">
        <v>960</v>
      </c>
      <c r="C46" s="123"/>
      <c r="D46" s="123"/>
      <c r="E46" s="123"/>
      <c r="F46" s="123"/>
      <c r="G46" s="123"/>
      <c r="H46" s="123"/>
      <c r="I46" s="123"/>
      <c r="J46" s="123"/>
      <c r="K46" s="124"/>
      <c r="L46" s="57"/>
      <c r="M46" s="325"/>
      <c r="N46" s="328"/>
      <c r="O46" s="328"/>
      <c r="P46" s="328"/>
      <c r="Q46" s="328"/>
      <c r="R46" s="328"/>
      <c r="S46" s="328"/>
      <c r="T46" s="328"/>
      <c r="U46" s="328"/>
      <c r="V46" s="328"/>
      <c r="W46" s="329"/>
      <c r="X46" s="59"/>
      <c r="Y46" s="59"/>
      <c r="Z46" s="59"/>
    </row>
    <row r="47" spans="1:26" ht="13.5">
      <c r="A47" s="57"/>
      <c r="B47" s="122" t="s">
        <v>961</v>
      </c>
      <c r="C47" s="123"/>
      <c r="D47" s="123"/>
      <c r="E47" s="123"/>
      <c r="F47" s="123"/>
      <c r="G47" s="123"/>
      <c r="H47" s="123"/>
      <c r="I47" s="123"/>
      <c r="J47" s="123"/>
      <c r="K47" s="124"/>
      <c r="L47" s="57"/>
      <c r="M47" s="321" t="s">
        <v>200</v>
      </c>
      <c r="N47" s="328"/>
      <c r="O47" s="328">
        <v>7</v>
      </c>
      <c r="P47" s="328"/>
      <c r="Q47" s="328"/>
      <c r="R47" s="328"/>
      <c r="S47" s="328"/>
      <c r="T47" s="328"/>
      <c r="U47" s="328"/>
      <c r="V47" s="328"/>
      <c r="W47" s="329"/>
      <c r="X47" s="59"/>
      <c r="Y47" s="59"/>
      <c r="Z47" s="59"/>
    </row>
    <row r="48" spans="1:26" ht="13.5">
      <c r="A48" s="57"/>
      <c r="B48" s="122" t="s">
        <v>962</v>
      </c>
      <c r="C48" s="267"/>
      <c r="D48" s="123"/>
      <c r="E48" s="123"/>
      <c r="F48" s="123"/>
      <c r="G48" s="123"/>
      <c r="H48" s="123"/>
      <c r="I48" s="123"/>
      <c r="J48" s="123"/>
      <c r="K48" s="124"/>
      <c r="L48" s="57"/>
      <c r="M48" s="325" t="s">
        <v>1161</v>
      </c>
      <c r="N48" s="328"/>
      <c r="O48" s="328"/>
      <c r="P48" s="328" t="s">
        <v>1188</v>
      </c>
      <c r="Q48" s="328"/>
      <c r="R48" s="328"/>
      <c r="S48" s="330" t="s">
        <v>201</v>
      </c>
      <c r="T48" s="328"/>
      <c r="U48" s="328"/>
      <c r="V48" s="328"/>
      <c r="W48" s="329"/>
      <c r="X48" s="59"/>
      <c r="Y48" s="59"/>
      <c r="Z48" s="59"/>
    </row>
    <row r="49" spans="1:26" ht="13.5">
      <c r="A49" s="57"/>
      <c r="B49" s="122"/>
      <c r="C49" s="123"/>
      <c r="D49" s="123"/>
      <c r="E49" s="123"/>
      <c r="F49" s="123"/>
      <c r="G49" s="123"/>
      <c r="H49" s="123"/>
      <c r="I49" s="123"/>
      <c r="J49" s="123"/>
      <c r="K49" s="124"/>
      <c r="L49" s="57"/>
      <c r="M49" s="325" t="s">
        <v>202</v>
      </c>
      <c r="N49" s="328"/>
      <c r="O49" s="328"/>
      <c r="P49" s="328"/>
      <c r="Q49" s="328"/>
      <c r="R49" s="328"/>
      <c r="S49" s="328"/>
      <c r="T49" s="328"/>
      <c r="U49" s="328"/>
      <c r="V49" s="328"/>
      <c r="W49" s="329"/>
      <c r="X49" s="59"/>
      <c r="Y49" s="59"/>
      <c r="Z49" s="59"/>
    </row>
    <row r="50" spans="1:26" ht="13.5">
      <c r="A50" s="57"/>
      <c r="B50" s="122" t="s">
        <v>963</v>
      </c>
      <c r="C50" s="123"/>
      <c r="D50" s="123"/>
      <c r="E50" s="123"/>
      <c r="F50" s="123"/>
      <c r="G50" s="123"/>
      <c r="H50" s="123"/>
      <c r="I50" s="123"/>
      <c r="J50" s="123"/>
      <c r="K50" s="124"/>
      <c r="L50" s="57"/>
      <c r="M50" s="325"/>
      <c r="N50" s="328"/>
      <c r="O50" s="328"/>
      <c r="P50" s="328"/>
      <c r="Q50" s="328"/>
      <c r="R50" s="328"/>
      <c r="S50" s="328"/>
      <c r="T50" s="328"/>
      <c r="U50" s="328"/>
      <c r="V50" s="328"/>
      <c r="W50" s="329"/>
      <c r="X50" s="59"/>
      <c r="Y50" s="59"/>
      <c r="Z50" s="59"/>
    </row>
    <row r="51" spans="1:26" ht="13.5">
      <c r="A51" s="57"/>
      <c r="B51" s="122" t="s">
        <v>943</v>
      </c>
      <c r="C51" s="123"/>
      <c r="D51" s="123" t="s">
        <v>946</v>
      </c>
      <c r="E51" s="123"/>
      <c r="F51" s="123"/>
      <c r="G51" s="123"/>
      <c r="H51" s="123"/>
      <c r="I51" s="123"/>
      <c r="J51" s="123"/>
      <c r="K51" s="124"/>
      <c r="L51" s="57"/>
      <c r="M51" s="325"/>
      <c r="N51" s="328"/>
      <c r="O51" s="328"/>
      <c r="P51" s="328"/>
      <c r="Q51" s="328"/>
      <c r="R51" s="328"/>
      <c r="S51" s="328"/>
      <c r="T51" s="328"/>
      <c r="U51" s="328"/>
      <c r="V51" s="328"/>
      <c r="W51" s="329"/>
      <c r="X51" s="59"/>
      <c r="Y51" s="59"/>
      <c r="Z51" s="59"/>
    </row>
    <row r="52" spans="1:26" ht="13.5">
      <c r="A52" s="57"/>
      <c r="B52" s="122" t="s">
        <v>942</v>
      </c>
      <c r="C52" s="123"/>
      <c r="D52" s="123" t="s">
        <v>305</v>
      </c>
      <c r="E52" s="123"/>
      <c r="F52" s="123"/>
      <c r="G52" s="123"/>
      <c r="H52" s="123"/>
      <c r="I52" s="123"/>
      <c r="J52" s="123"/>
      <c r="K52" s="124"/>
      <c r="L52" s="57"/>
      <c r="M52" s="129" t="s">
        <v>1191</v>
      </c>
      <c r="N52" s="328"/>
      <c r="O52" s="328">
        <v>3</v>
      </c>
      <c r="P52" s="328"/>
      <c r="Q52" s="328"/>
      <c r="R52" s="328"/>
      <c r="S52" s="328"/>
      <c r="T52" s="328"/>
      <c r="U52" s="328"/>
      <c r="V52" s="328"/>
      <c r="W52" s="329"/>
      <c r="X52" s="59"/>
      <c r="Y52" s="59"/>
      <c r="Z52" s="59"/>
    </row>
    <row r="53" spans="1:26" ht="13.5">
      <c r="A53" s="57"/>
      <c r="B53" s="122" t="s">
        <v>944</v>
      </c>
      <c r="C53" s="123"/>
      <c r="D53" s="123" t="s">
        <v>38</v>
      </c>
      <c r="E53" s="123"/>
      <c r="F53" s="123"/>
      <c r="G53" s="123"/>
      <c r="H53" s="123"/>
      <c r="I53" s="123"/>
      <c r="J53" s="123"/>
      <c r="K53" s="124"/>
      <c r="L53" s="57"/>
      <c r="M53" s="325" t="s">
        <v>1161</v>
      </c>
      <c r="N53" s="328"/>
      <c r="O53" s="328"/>
      <c r="P53" s="328" t="s">
        <v>1192</v>
      </c>
      <c r="Q53" s="328"/>
      <c r="R53" s="328"/>
      <c r="S53" s="328"/>
      <c r="T53" s="328"/>
      <c r="U53" s="328"/>
      <c r="V53" s="328"/>
      <c r="W53" s="329"/>
      <c r="X53" s="59"/>
      <c r="Y53" s="59"/>
      <c r="Z53" s="59"/>
    </row>
    <row r="54" spans="1:26" ht="13.5">
      <c r="A54" s="57"/>
      <c r="B54" s="122" t="s">
        <v>945</v>
      </c>
      <c r="C54" s="123"/>
      <c r="D54" s="123" t="s">
        <v>307</v>
      </c>
      <c r="E54" s="123"/>
      <c r="F54" s="123"/>
      <c r="G54" s="123"/>
      <c r="H54" s="123"/>
      <c r="I54" s="123"/>
      <c r="J54" s="123"/>
      <c r="K54" s="124"/>
      <c r="L54" s="57"/>
      <c r="M54" s="325"/>
      <c r="N54" s="328"/>
      <c r="O54" s="328"/>
      <c r="P54" s="328"/>
      <c r="Q54" s="328"/>
      <c r="R54" s="328"/>
      <c r="S54" s="328"/>
      <c r="T54" s="328"/>
      <c r="U54" s="328"/>
      <c r="V54" s="328"/>
      <c r="W54" s="329"/>
      <c r="X54" s="59"/>
      <c r="Y54" s="59"/>
      <c r="Z54" s="59"/>
    </row>
    <row r="55" spans="1:26" ht="13.5">
      <c r="A55" s="57"/>
      <c r="B55" s="122"/>
      <c r="C55" s="123"/>
      <c r="D55" s="123" t="s">
        <v>956</v>
      </c>
      <c r="E55" s="123"/>
      <c r="F55" s="123"/>
      <c r="G55" s="123"/>
      <c r="H55" s="123"/>
      <c r="I55" s="123"/>
      <c r="J55" s="123"/>
      <c r="K55" s="124"/>
      <c r="L55" s="57"/>
      <c r="M55" s="325"/>
      <c r="N55" s="328"/>
      <c r="O55" s="328"/>
      <c r="P55" s="328"/>
      <c r="Q55" s="328"/>
      <c r="R55" s="328"/>
      <c r="S55" s="328"/>
      <c r="T55" s="328"/>
      <c r="U55" s="328"/>
      <c r="V55" s="328"/>
      <c r="W55" s="329"/>
      <c r="X55" s="59"/>
      <c r="Y55" s="59"/>
      <c r="Z55" s="59"/>
    </row>
    <row r="56" spans="1:26" ht="13.5">
      <c r="A56" s="57"/>
      <c r="B56" s="122" t="s">
        <v>957</v>
      </c>
      <c r="C56" s="123"/>
      <c r="D56" s="123" t="s">
        <v>306</v>
      </c>
      <c r="E56" s="123"/>
      <c r="F56" s="123"/>
      <c r="G56" s="123"/>
      <c r="H56" s="123"/>
      <c r="I56" s="123"/>
      <c r="J56" s="123"/>
      <c r="K56" s="124"/>
      <c r="L56" s="57"/>
      <c r="M56" s="129" t="s">
        <v>1194</v>
      </c>
      <c r="N56" s="328"/>
      <c r="O56" s="328">
        <v>3</v>
      </c>
      <c r="P56" s="328"/>
      <c r="Q56" s="328"/>
      <c r="R56" s="328"/>
      <c r="S56" s="328"/>
      <c r="T56" s="328"/>
      <c r="U56" s="328"/>
      <c r="V56" s="328"/>
      <c r="W56" s="329"/>
      <c r="X56" s="59"/>
      <c r="Y56" s="59"/>
      <c r="Z56" s="59"/>
    </row>
    <row r="57" spans="1:26" ht="13.5">
      <c r="A57" s="57"/>
      <c r="B57" s="122" t="s">
        <v>958</v>
      </c>
      <c r="C57" s="123"/>
      <c r="D57" s="123" t="s">
        <v>959</v>
      </c>
      <c r="E57" s="123"/>
      <c r="F57" s="123"/>
      <c r="G57" s="123"/>
      <c r="H57" s="123"/>
      <c r="I57" s="123"/>
      <c r="J57" s="123"/>
      <c r="K57" s="124"/>
      <c r="L57" s="57"/>
      <c r="M57" s="325" t="s">
        <v>1161</v>
      </c>
      <c r="N57" s="328"/>
      <c r="O57" s="328"/>
      <c r="P57" s="328" t="s">
        <v>1232</v>
      </c>
      <c r="Q57" s="328"/>
      <c r="R57" s="328"/>
      <c r="S57" s="328"/>
      <c r="T57" s="328"/>
      <c r="U57" s="328"/>
      <c r="V57" s="328"/>
      <c r="W57" s="329"/>
      <c r="X57" s="59"/>
      <c r="Y57" s="59"/>
      <c r="Z57" s="59"/>
    </row>
    <row r="58" spans="1:26" ht="13.5">
      <c r="A58" s="57"/>
      <c r="B58" s="122"/>
      <c r="C58" s="123"/>
      <c r="D58" s="123"/>
      <c r="E58" s="123"/>
      <c r="F58" s="123"/>
      <c r="G58" s="123"/>
      <c r="H58" s="123"/>
      <c r="I58" s="123"/>
      <c r="J58" s="123"/>
      <c r="K58" s="124"/>
      <c r="L58" s="57"/>
      <c r="M58" s="325"/>
      <c r="N58" s="328"/>
      <c r="O58" s="328"/>
      <c r="P58" s="328"/>
      <c r="Q58" s="328"/>
      <c r="R58" s="328"/>
      <c r="S58" s="328"/>
      <c r="T58" s="328"/>
      <c r="U58" s="328"/>
      <c r="V58" s="328"/>
      <c r="W58" s="329"/>
      <c r="X58" s="59"/>
      <c r="Y58" s="59"/>
      <c r="Z58" s="59"/>
    </row>
    <row r="59" spans="1:26" ht="13.5">
      <c r="A59" s="57"/>
      <c r="B59" s="122"/>
      <c r="C59" s="123"/>
      <c r="D59" s="123"/>
      <c r="E59" s="123"/>
      <c r="F59" s="123"/>
      <c r="G59" s="123"/>
      <c r="H59" s="123"/>
      <c r="I59" s="123"/>
      <c r="J59" s="123"/>
      <c r="K59" s="124"/>
      <c r="L59" s="57"/>
      <c r="M59" s="129" t="s">
        <v>450</v>
      </c>
      <c r="N59" s="328"/>
      <c r="O59" s="328">
        <v>6</v>
      </c>
      <c r="P59" s="328"/>
      <c r="Q59" s="328"/>
      <c r="R59" s="328"/>
      <c r="S59" s="328"/>
      <c r="T59" s="328"/>
      <c r="U59" s="328"/>
      <c r="V59" s="328"/>
      <c r="W59" s="329"/>
      <c r="X59" s="57"/>
      <c r="Y59" s="57"/>
      <c r="Z59" s="57"/>
    </row>
    <row r="60" spans="1:26" ht="13.5">
      <c r="A60" s="57"/>
      <c r="B60" s="129" t="s">
        <v>485</v>
      </c>
      <c r="C60" s="123"/>
      <c r="D60" s="123"/>
      <c r="E60" s="123"/>
      <c r="F60" s="123"/>
      <c r="G60" s="123"/>
      <c r="H60" s="123"/>
      <c r="I60" s="123"/>
      <c r="J60" s="123"/>
      <c r="K60" s="124"/>
      <c r="L60" s="57"/>
      <c r="M60" s="325" t="s">
        <v>920</v>
      </c>
      <c r="N60" s="328"/>
      <c r="O60" s="328"/>
      <c r="P60" s="328" t="s">
        <v>921</v>
      </c>
      <c r="Q60" s="328"/>
      <c r="R60" s="328" t="s">
        <v>451</v>
      </c>
      <c r="S60" s="328" t="s">
        <v>923</v>
      </c>
      <c r="T60" s="328"/>
      <c r="U60" s="328"/>
      <c r="V60" s="328"/>
      <c r="W60" s="329"/>
      <c r="X60" s="57"/>
      <c r="Y60" s="57"/>
      <c r="Z60" s="57"/>
    </row>
    <row r="61" spans="1:26" ht="13.5">
      <c r="A61" s="57"/>
      <c r="B61" s="122" t="s">
        <v>486</v>
      </c>
      <c r="C61" s="123"/>
      <c r="D61" s="123"/>
      <c r="E61" s="123"/>
      <c r="F61" s="123"/>
      <c r="G61" s="123"/>
      <c r="H61" s="123"/>
      <c r="I61" s="123"/>
      <c r="J61" s="123"/>
      <c r="K61" s="124"/>
      <c r="L61" s="57"/>
      <c r="M61" s="325" t="s">
        <v>922</v>
      </c>
      <c r="N61" s="328"/>
      <c r="O61" s="328"/>
      <c r="P61" s="328"/>
      <c r="Q61" s="328"/>
      <c r="R61" s="328"/>
      <c r="S61" s="328"/>
      <c r="T61" s="328"/>
      <c r="U61" s="328"/>
      <c r="V61" s="328"/>
      <c r="W61" s="329"/>
      <c r="X61" s="57"/>
      <c r="Y61" s="57"/>
      <c r="Z61" s="57"/>
    </row>
    <row r="62" spans="1:26" ht="13.5">
      <c r="A62" s="57"/>
      <c r="B62" s="122" t="s">
        <v>928</v>
      </c>
      <c r="C62" s="123"/>
      <c r="D62" s="123"/>
      <c r="E62" s="123"/>
      <c r="F62" s="123"/>
      <c r="G62" s="123"/>
      <c r="H62" s="123"/>
      <c r="I62" s="123"/>
      <c r="J62" s="123"/>
      <c r="K62" s="124"/>
      <c r="L62" s="57"/>
      <c r="M62" s="325" t="s">
        <v>452</v>
      </c>
      <c r="N62" s="328"/>
      <c r="O62" s="328"/>
      <c r="P62" s="328"/>
      <c r="Q62" s="328"/>
      <c r="R62" s="328"/>
      <c r="S62" s="328"/>
      <c r="T62" s="328"/>
      <c r="U62" s="328"/>
      <c r="V62" s="328"/>
      <c r="W62" s="329"/>
      <c r="X62" s="57"/>
      <c r="Y62" s="57"/>
      <c r="Z62" s="57"/>
    </row>
    <row r="63" spans="1:26" ht="13.5">
      <c r="A63" s="57"/>
      <c r="B63" s="122" t="s">
        <v>477</v>
      </c>
      <c r="C63" s="123"/>
      <c r="D63" s="123"/>
      <c r="E63" s="123"/>
      <c r="F63" s="123"/>
      <c r="G63" s="123"/>
      <c r="H63" s="123"/>
      <c r="I63" s="123"/>
      <c r="J63" s="123"/>
      <c r="K63" s="124"/>
      <c r="L63" s="57"/>
      <c r="M63" s="325"/>
      <c r="N63" s="328"/>
      <c r="O63" s="328"/>
      <c r="P63" s="328"/>
      <c r="Q63" s="328"/>
      <c r="R63" s="328"/>
      <c r="S63" s="328"/>
      <c r="T63" s="328"/>
      <c r="U63" s="328"/>
      <c r="V63" s="328"/>
      <c r="W63" s="329"/>
      <c r="X63" s="57"/>
      <c r="Y63" s="57"/>
      <c r="Z63" s="57"/>
    </row>
    <row r="64" spans="1:26" ht="13.5">
      <c r="A64" s="57"/>
      <c r="B64" s="122" t="s">
        <v>308</v>
      </c>
      <c r="C64" s="123"/>
      <c r="D64" s="123"/>
      <c r="E64" s="123"/>
      <c r="F64" s="123"/>
      <c r="G64" s="123"/>
      <c r="H64" s="123"/>
      <c r="I64" s="123"/>
      <c r="J64" s="123"/>
      <c r="K64" s="124"/>
      <c r="L64" s="57"/>
      <c r="M64" s="129" t="s">
        <v>693</v>
      </c>
      <c r="N64" s="328"/>
      <c r="O64" s="328">
        <v>6</v>
      </c>
      <c r="P64" s="328"/>
      <c r="Q64" s="328"/>
      <c r="R64" s="328"/>
      <c r="S64" s="328"/>
      <c r="T64" s="328"/>
      <c r="U64" s="328"/>
      <c r="V64" s="328"/>
      <c r="W64" s="329"/>
      <c r="X64" s="57"/>
      <c r="Y64" s="57"/>
      <c r="Z64" s="57"/>
    </row>
    <row r="65" spans="1:26" ht="13.5">
      <c r="A65" s="57"/>
      <c r="B65" s="122"/>
      <c r="C65" s="123"/>
      <c r="D65" s="123"/>
      <c r="E65" s="123"/>
      <c r="F65" s="123"/>
      <c r="G65" s="123"/>
      <c r="H65" s="123"/>
      <c r="I65" s="123"/>
      <c r="J65" s="123"/>
      <c r="K65" s="124"/>
      <c r="L65" s="57"/>
      <c r="M65" s="325" t="s">
        <v>1176</v>
      </c>
      <c r="N65" s="328"/>
      <c r="O65" s="328"/>
      <c r="P65" s="328" t="s">
        <v>694</v>
      </c>
      <c r="Q65" s="328"/>
      <c r="R65" s="328"/>
      <c r="S65" s="328"/>
      <c r="T65" s="328"/>
      <c r="U65" s="328"/>
      <c r="V65" s="328"/>
      <c r="W65" s="329"/>
      <c r="X65" s="57"/>
      <c r="Y65" s="57"/>
      <c r="Z65" s="57"/>
    </row>
    <row r="66" spans="1:26" ht="13.5">
      <c r="A66" s="57"/>
      <c r="B66" s="122" t="s">
        <v>488</v>
      </c>
      <c r="C66" s="123"/>
      <c r="D66" s="123"/>
      <c r="E66" s="123"/>
      <c r="F66" s="123"/>
      <c r="G66" s="123"/>
      <c r="H66" s="123"/>
      <c r="I66" s="123"/>
      <c r="J66" s="123"/>
      <c r="K66" s="124"/>
      <c r="L66" s="57"/>
      <c r="M66" s="325"/>
      <c r="N66" s="328"/>
      <c r="O66" s="328"/>
      <c r="P66" s="328"/>
      <c r="Q66" s="328"/>
      <c r="R66" s="328"/>
      <c r="S66" s="328"/>
      <c r="T66" s="328"/>
      <c r="U66" s="328"/>
      <c r="V66" s="328"/>
      <c r="W66" s="329"/>
      <c r="X66" s="57"/>
      <c r="Y66" s="57"/>
      <c r="Z66" s="57"/>
    </row>
    <row r="67" spans="1:26" ht="13.5">
      <c r="A67" s="57"/>
      <c r="B67" s="122" t="s">
        <v>489</v>
      </c>
      <c r="C67" s="123"/>
      <c r="D67" s="123"/>
      <c r="E67" s="123"/>
      <c r="F67" s="123"/>
      <c r="G67" s="123"/>
      <c r="H67" s="123"/>
      <c r="I67" s="123"/>
      <c r="J67" s="123"/>
      <c r="K67" s="124"/>
      <c r="L67" s="57"/>
      <c r="M67" s="129" t="s">
        <v>1224</v>
      </c>
      <c r="N67" s="328"/>
      <c r="O67" s="328">
        <v>5.5</v>
      </c>
      <c r="P67" s="328"/>
      <c r="Q67" s="328"/>
      <c r="R67" s="328"/>
      <c r="S67" s="328"/>
      <c r="T67" s="328"/>
      <c r="U67" s="328"/>
      <c r="V67" s="328"/>
      <c r="W67" s="329"/>
      <c r="X67" s="57"/>
      <c r="Y67" s="57"/>
      <c r="Z67" s="57"/>
    </row>
    <row r="68" spans="1:26" ht="13.5">
      <c r="A68" s="57"/>
      <c r="B68" s="122"/>
      <c r="C68" s="123"/>
      <c r="D68" s="123"/>
      <c r="E68" s="123"/>
      <c r="F68" s="123"/>
      <c r="G68" s="123"/>
      <c r="H68" s="123"/>
      <c r="I68" s="123"/>
      <c r="J68" s="123"/>
      <c r="K68" s="124"/>
      <c r="L68" s="57"/>
      <c r="M68" s="325" t="s">
        <v>1161</v>
      </c>
      <c r="N68" s="328"/>
      <c r="O68" s="328"/>
      <c r="P68" s="328" t="s">
        <v>915</v>
      </c>
      <c r="Q68" s="328"/>
      <c r="R68" s="328"/>
      <c r="S68" s="328" t="s">
        <v>916</v>
      </c>
      <c r="T68" s="328"/>
      <c r="U68" s="328"/>
      <c r="V68" s="328"/>
      <c r="W68" s="329"/>
      <c r="X68" s="57"/>
      <c r="Y68" s="57"/>
      <c r="Z68" s="57"/>
    </row>
    <row r="69" spans="1:26" ht="13.5">
      <c r="A69" s="57"/>
      <c r="B69" s="122" t="s">
        <v>1325</v>
      </c>
      <c r="C69" s="123"/>
      <c r="D69" s="354" t="s">
        <v>1326</v>
      </c>
      <c r="E69" s="123" t="s">
        <v>1327</v>
      </c>
      <c r="F69" s="123"/>
      <c r="G69" s="123"/>
      <c r="H69" s="123"/>
      <c r="I69" s="123"/>
      <c r="J69" s="123"/>
      <c r="K69" s="124"/>
      <c r="L69" s="57"/>
      <c r="M69" s="325" t="s">
        <v>1162</v>
      </c>
      <c r="N69" s="328"/>
      <c r="O69" s="328"/>
      <c r="P69" s="328" t="s">
        <v>917</v>
      </c>
      <c r="Q69" s="328"/>
      <c r="R69" s="328"/>
      <c r="S69" s="328" t="s">
        <v>918</v>
      </c>
      <c r="T69" s="328"/>
      <c r="U69" s="328"/>
      <c r="V69" s="328"/>
      <c r="W69" s="329"/>
      <c r="X69" s="57"/>
      <c r="Y69" s="57"/>
      <c r="Z69" s="57"/>
    </row>
    <row r="70" spans="1:26" ht="13.5">
      <c r="A70" s="57"/>
      <c r="B70" s="126" t="s">
        <v>1332</v>
      </c>
      <c r="C70" s="123" t="s">
        <v>1333</v>
      </c>
      <c r="D70" s="123"/>
      <c r="E70" s="123"/>
      <c r="F70" s="123"/>
      <c r="G70" s="123" t="s">
        <v>1337</v>
      </c>
      <c r="H70" s="123"/>
      <c r="I70" s="123"/>
      <c r="J70" s="123"/>
      <c r="K70" s="124"/>
      <c r="L70" s="57"/>
      <c r="M70" s="325"/>
      <c r="N70" s="328"/>
      <c r="O70" s="328"/>
      <c r="P70" s="328"/>
      <c r="Q70" s="328"/>
      <c r="R70" s="328"/>
      <c r="S70" s="328"/>
      <c r="T70" s="328"/>
      <c r="U70" s="328"/>
      <c r="V70" s="328"/>
      <c r="W70" s="329"/>
      <c r="X70" s="57"/>
      <c r="Y70" s="57"/>
      <c r="Z70" s="57"/>
    </row>
    <row r="71" spans="1:26" ht="13.5">
      <c r="A71" s="57"/>
      <c r="B71" s="122" t="s">
        <v>491</v>
      </c>
      <c r="C71" s="123"/>
      <c r="D71" s="123"/>
      <c r="E71" s="123"/>
      <c r="F71" s="123"/>
      <c r="G71" s="123"/>
      <c r="H71" s="123"/>
      <c r="I71" s="123"/>
      <c r="J71" s="123"/>
      <c r="K71" s="124"/>
      <c r="L71" s="57"/>
      <c r="M71" s="321" t="s">
        <v>1225</v>
      </c>
      <c r="N71" s="328"/>
      <c r="O71" s="328">
        <v>4</v>
      </c>
      <c r="P71" s="328"/>
      <c r="Q71" s="328"/>
      <c r="R71" s="328"/>
      <c r="S71" s="328"/>
      <c r="T71" s="328"/>
      <c r="U71" s="328"/>
      <c r="V71" s="328"/>
      <c r="W71" s="329"/>
      <c r="X71" s="57"/>
      <c r="Y71" s="57"/>
      <c r="Z71" s="57"/>
    </row>
    <row r="72" spans="1:26" ht="13.5">
      <c r="A72" s="57"/>
      <c r="B72" s="122" t="s">
        <v>230</v>
      </c>
      <c r="C72" s="123"/>
      <c r="D72" s="123"/>
      <c r="E72" s="123"/>
      <c r="F72" s="123"/>
      <c r="G72" s="123"/>
      <c r="H72" s="123"/>
      <c r="I72" s="123"/>
      <c r="J72" s="123"/>
      <c r="K72" s="124"/>
      <c r="L72" s="57"/>
      <c r="M72" s="325" t="s">
        <v>1161</v>
      </c>
      <c r="N72" s="328"/>
      <c r="O72" s="328"/>
      <c r="P72" s="328" t="s">
        <v>1193</v>
      </c>
      <c r="Q72" s="328"/>
      <c r="R72" s="328"/>
      <c r="S72" s="328" t="s">
        <v>1226</v>
      </c>
      <c r="T72" s="328"/>
      <c r="U72" s="328"/>
      <c r="V72" s="328"/>
      <c r="W72" s="329"/>
      <c r="X72" s="57"/>
      <c r="Y72" s="57"/>
      <c r="Z72" s="57"/>
    </row>
    <row r="73" spans="1:26" ht="13.5">
      <c r="A73" s="57"/>
      <c r="B73" s="122" t="s">
        <v>1338</v>
      </c>
      <c r="C73" s="123"/>
      <c r="D73" s="123"/>
      <c r="E73" s="123"/>
      <c r="F73" s="123"/>
      <c r="G73" s="123"/>
      <c r="H73" s="123"/>
      <c r="I73" s="123"/>
      <c r="J73" s="123"/>
      <c r="K73" s="124"/>
      <c r="L73" s="57"/>
      <c r="M73" s="325"/>
      <c r="N73" s="328"/>
      <c r="O73" s="328"/>
      <c r="P73" s="328"/>
      <c r="Q73" s="328"/>
      <c r="R73" s="328"/>
      <c r="S73" s="328"/>
      <c r="T73" s="328"/>
      <c r="U73" s="328"/>
      <c r="V73" s="328"/>
      <c r="W73" s="329"/>
      <c r="X73" s="57"/>
      <c r="Y73" s="57"/>
      <c r="Z73" s="57"/>
    </row>
    <row r="74" spans="1:26" ht="13.5">
      <c r="A74" s="57"/>
      <c r="B74" s="355" t="s">
        <v>1340</v>
      </c>
      <c r="C74" s="123"/>
      <c r="D74" s="123"/>
      <c r="E74" s="123"/>
      <c r="F74" s="123"/>
      <c r="G74" s="123"/>
      <c r="H74" s="123"/>
      <c r="I74" s="123"/>
      <c r="J74" s="123"/>
      <c r="K74" s="124"/>
      <c r="L74" s="57"/>
      <c r="M74" s="325"/>
      <c r="N74" s="328"/>
      <c r="O74" s="328"/>
      <c r="P74" s="328"/>
      <c r="Q74" s="328"/>
      <c r="R74" s="328"/>
      <c r="S74" s="328"/>
      <c r="T74" s="328"/>
      <c r="U74" s="328"/>
      <c r="V74" s="328"/>
      <c r="W74" s="329"/>
      <c r="X74" s="57"/>
      <c r="Y74" s="57"/>
      <c r="Z74" s="57"/>
    </row>
    <row r="75" spans="1:26" ht="13.5">
      <c r="A75" s="57"/>
      <c r="B75" s="122"/>
      <c r="C75" s="123"/>
      <c r="D75" s="123"/>
      <c r="E75" s="123"/>
      <c r="F75" s="123"/>
      <c r="G75" s="123"/>
      <c r="H75" s="123"/>
      <c r="I75" s="123"/>
      <c r="J75" s="123"/>
      <c r="K75" s="124"/>
      <c r="L75" s="57"/>
      <c r="M75" s="325"/>
      <c r="N75" s="328"/>
      <c r="O75" s="328"/>
      <c r="P75" s="328"/>
      <c r="Q75" s="328"/>
      <c r="R75" s="328"/>
      <c r="S75" s="328"/>
      <c r="T75" s="328"/>
      <c r="U75" s="328"/>
      <c r="V75" s="328"/>
      <c r="W75" s="329"/>
      <c r="X75" s="57"/>
      <c r="Y75" s="57"/>
      <c r="Z75" s="57"/>
    </row>
    <row r="76" spans="1:26" ht="13.5">
      <c r="A76" s="57"/>
      <c r="B76" s="122"/>
      <c r="C76" s="123"/>
      <c r="D76" s="123"/>
      <c r="E76" s="123"/>
      <c r="F76" s="123"/>
      <c r="G76" s="123"/>
      <c r="H76" s="123"/>
      <c r="I76" s="123"/>
      <c r="J76" s="123"/>
      <c r="K76" s="124"/>
      <c r="L76" s="57"/>
      <c r="M76" s="325"/>
      <c r="N76" s="328"/>
      <c r="O76" s="328"/>
      <c r="P76" s="328"/>
      <c r="Q76" s="328"/>
      <c r="R76" s="328"/>
      <c r="S76" s="328"/>
      <c r="T76" s="328"/>
      <c r="U76" s="328"/>
      <c r="V76" s="328"/>
      <c r="W76" s="335" t="s">
        <v>1303</v>
      </c>
      <c r="X76" s="57"/>
      <c r="Y76" s="57"/>
      <c r="Z76" s="57"/>
    </row>
    <row r="77" spans="1:26" ht="14.25" thickBot="1">
      <c r="A77" s="57"/>
      <c r="B77" s="129" t="s">
        <v>496</v>
      </c>
      <c r="C77" s="123"/>
      <c r="D77" s="123"/>
      <c r="E77" s="123"/>
      <c r="F77" s="123"/>
      <c r="G77" s="123"/>
      <c r="H77" s="123"/>
      <c r="I77" s="123"/>
      <c r="J77" s="123"/>
      <c r="K77" s="124"/>
      <c r="L77" s="57"/>
      <c r="M77" s="336"/>
      <c r="N77" s="337"/>
      <c r="O77" s="337"/>
      <c r="P77" s="337"/>
      <c r="Q77" s="337"/>
      <c r="R77" s="337"/>
      <c r="S77" s="337"/>
      <c r="T77" s="337"/>
      <c r="U77" s="337"/>
      <c r="V77" s="337"/>
      <c r="W77" s="338"/>
      <c r="X77" s="57"/>
      <c r="Y77" s="57"/>
      <c r="Z77" s="57"/>
    </row>
    <row r="78" spans="1:26" ht="13.5">
      <c r="A78" s="57"/>
      <c r="B78" s="122" t="s">
        <v>929</v>
      </c>
      <c r="C78" s="123"/>
      <c r="D78" s="123"/>
      <c r="E78" s="123"/>
      <c r="F78" s="123"/>
      <c r="G78" s="123"/>
      <c r="H78" s="123"/>
      <c r="I78" s="123"/>
      <c r="J78" s="123"/>
      <c r="K78" s="124"/>
      <c r="L78" s="57"/>
      <c r="M78" s="345" t="s">
        <v>1236</v>
      </c>
      <c r="N78" s="346"/>
      <c r="O78" s="346"/>
      <c r="P78" s="346"/>
      <c r="Q78" s="346"/>
      <c r="R78" s="346"/>
      <c r="S78" s="346"/>
      <c r="T78" s="346"/>
      <c r="U78" s="346"/>
      <c r="V78" s="346"/>
      <c r="W78" s="347"/>
      <c r="X78" s="57"/>
      <c r="Y78" s="57"/>
      <c r="Z78" s="57"/>
    </row>
    <row r="79" spans="1:26" ht="13.5">
      <c r="A79" s="57"/>
      <c r="B79" s="122" t="s">
        <v>499</v>
      </c>
      <c r="C79" s="123"/>
      <c r="D79" s="123"/>
      <c r="E79" s="123"/>
      <c r="F79" s="123"/>
      <c r="G79" s="123"/>
      <c r="H79" s="123"/>
      <c r="I79" s="123"/>
      <c r="J79" s="123"/>
      <c r="K79" s="124"/>
      <c r="L79" s="57"/>
      <c r="M79" s="325" t="s">
        <v>1263</v>
      </c>
      <c r="N79" s="328"/>
      <c r="O79" s="328"/>
      <c r="P79" s="328"/>
      <c r="Q79" s="328"/>
      <c r="R79" s="328"/>
      <c r="S79" s="328"/>
      <c r="T79" s="328"/>
      <c r="U79" s="328"/>
      <c r="V79" s="328"/>
      <c r="W79" s="329"/>
      <c r="X79" s="57"/>
      <c r="Y79" s="57"/>
      <c r="Z79" s="57"/>
    </row>
    <row r="80" spans="1:26" ht="13.5">
      <c r="A80" s="57"/>
      <c r="B80" s="122" t="s">
        <v>505</v>
      </c>
      <c r="C80" s="123"/>
      <c r="D80" s="203" t="s">
        <v>1184</v>
      </c>
      <c r="E80" s="123"/>
      <c r="F80" s="123"/>
      <c r="G80" s="266"/>
      <c r="H80" s="203"/>
      <c r="I80" s="21"/>
      <c r="J80" s="123"/>
      <c r="K80" s="124"/>
      <c r="L80" s="57"/>
      <c r="M80" s="325" t="s">
        <v>1264</v>
      </c>
      <c r="N80" s="328"/>
      <c r="O80" s="328"/>
      <c r="P80" s="328"/>
      <c r="Q80" s="328"/>
      <c r="R80" s="328"/>
      <c r="S80" s="328"/>
      <c r="T80" s="328"/>
      <c r="U80" s="328"/>
      <c r="V80" s="328"/>
      <c r="W80" s="329"/>
      <c r="X80" s="57"/>
      <c r="Y80" s="57"/>
      <c r="Z80" s="57"/>
    </row>
    <row r="81" spans="1:26" ht="13.5">
      <c r="A81" s="57"/>
      <c r="B81" s="122" t="s">
        <v>815</v>
      </c>
      <c r="C81" s="123"/>
      <c r="D81" s="203" t="s">
        <v>816</v>
      </c>
      <c r="E81" s="123"/>
      <c r="F81" s="123"/>
      <c r="G81" s="123"/>
      <c r="H81" s="123"/>
      <c r="I81" s="123"/>
      <c r="J81" s="123"/>
      <c r="K81" s="124"/>
      <c r="L81" s="57"/>
      <c r="M81" s="325" t="s">
        <v>689</v>
      </c>
      <c r="N81" s="328"/>
      <c r="O81" s="328"/>
      <c r="P81" s="328"/>
      <c r="Q81" s="328"/>
      <c r="R81" s="328"/>
      <c r="S81" s="328"/>
      <c r="T81" s="328"/>
      <c r="U81" s="328"/>
      <c r="V81" s="328"/>
      <c r="W81" s="329"/>
      <c r="X81" s="57"/>
      <c r="Y81" s="57"/>
      <c r="Z81" s="57"/>
    </row>
    <row r="82" spans="1:26" ht="13.5">
      <c r="A82" s="57"/>
      <c r="B82" s="122"/>
      <c r="C82" s="123"/>
      <c r="D82" s="203"/>
      <c r="E82" s="123"/>
      <c r="F82" s="123"/>
      <c r="G82" s="123"/>
      <c r="H82" s="123"/>
      <c r="I82" s="123"/>
      <c r="J82" s="123"/>
      <c r="K82" s="124"/>
      <c r="L82" s="57"/>
      <c r="M82" s="130" t="s">
        <v>690</v>
      </c>
      <c r="N82" s="328"/>
      <c r="O82" s="328"/>
      <c r="P82" s="328"/>
      <c r="Q82" s="328"/>
      <c r="R82" s="328"/>
      <c r="S82" s="328"/>
      <c r="T82" s="328"/>
      <c r="U82" s="328"/>
      <c r="V82" s="328"/>
      <c r="W82" s="329"/>
      <c r="X82" s="57"/>
      <c r="Y82" s="57"/>
      <c r="Z82" s="57"/>
    </row>
    <row r="83" spans="1:26" ht="13.5">
      <c r="A83" s="57"/>
      <c r="B83" s="311"/>
      <c r="C83" s="312"/>
      <c r="D83" s="312"/>
      <c r="E83" s="312"/>
      <c r="F83" s="312"/>
      <c r="G83" s="312"/>
      <c r="H83" s="312"/>
      <c r="I83" s="312"/>
      <c r="J83" s="312"/>
      <c r="K83" s="200"/>
      <c r="L83" s="57"/>
      <c r="M83" s="130" t="s">
        <v>1265</v>
      </c>
      <c r="N83" s="328"/>
      <c r="O83" s="328"/>
      <c r="P83" s="328"/>
      <c r="Q83" s="328"/>
      <c r="R83" s="328"/>
      <c r="S83" s="328"/>
      <c r="T83" s="328"/>
      <c r="U83" s="328"/>
      <c r="V83" s="328"/>
      <c r="W83" s="329"/>
      <c r="X83" s="57"/>
      <c r="Y83" s="57"/>
      <c r="Z83" s="57"/>
    </row>
    <row r="84" spans="1:26" ht="13.5">
      <c r="A84" s="57"/>
      <c r="B84" s="321" t="s">
        <v>492</v>
      </c>
      <c r="C84" s="123"/>
      <c r="D84" s="123"/>
      <c r="E84" s="123"/>
      <c r="F84" s="123"/>
      <c r="G84" s="123"/>
      <c r="H84" s="123"/>
      <c r="I84" s="123"/>
      <c r="J84" s="123"/>
      <c r="K84" s="124"/>
      <c r="L84" s="57"/>
      <c r="M84" s="130" t="s">
        <v>1266</v>
      </c>
      <c r="N84" s="328"/>
      <c r="O84" s="328"/>
      <c r="P84" s="328"/>
      <c r="Q84" s="328"/>
      <c r="R84" s="328"/>
      <c r="S84" s="328"/>
      <c r="T84" s="328"/>
      <c r="U84" s="328"/>
      <c r="V84" s="328"/>
      <c r="W84" s="329"/>
      <c r="X84" s="57"/>
      <c r="Y84" s="57"/>
      <c r="Z84" s="57"/>
    </row>
    <row r="85" spans="1:26" ht="13.5">
      <c r="A85" s="57"/>
      <c r="B85" s="265" t="s">
        <v>609</v>
      </c>
      <c r="C85" s="123"/>
      <c r="D85" s="123"/>
      <c r="E85" s="123"/>
      <c r="F85" s="123"/>
      <c r="G85" s="123"/>
      <c r="H85" s="123"/>
      <c r="I85" s="123"/>
      <c r="J85" s="123"/>
      <c r="K85" s="124"/>
      <c r="L85" s="57"/>
      <c r="M85" s="130" t="s">
        <v>691</v>
      </c>
      <c r="N85" s="328"/>
      <c r="O85" s="328"/>
      <c r="P85" s="328"/>
      <c r="Q85" s="328"/>
      <c r="R85" s="328"/>
      <c r="S85" s="328"/>
      <c r="T85" s="328"/>
      <c r="U85" s="328"/>
      <c r="V85" s="328"/>
      <c r="W85" s="329"/>
      <c r="X85" s="57"/>
      <c r="Y85" s="57"/>
      <c r="Z85" s="57"/>
    </row>
    <row r="86" spans="1:26" ht="13.5">
      <c r="A86" s="57"/>
      <c r="B86" s="321" t="s">
        <v>610</v>
      </c>
      <c r="C86" s="123"/>
      <c r="D86" s="123" t="s">
        <v>204</v>
      </c>
      <c r="E86" s="123"/>
      <c r="F86" s="123"/>
      <c r="G86" s="123"/>
      <c r="H86" s="123"/>
      <c r="I86" s="123"/>
      <c r="J86" s="123"/>
      <c r="K86" s="124"/>
      <c r="L86" s="57"/>
      <c r="M86" s="130" t="s">
        <v>1220</v>
      </c>
      <c r="N86" s="328"/>
      <c r="O86" s="328"/>
      <c r="P86" s="328"/>
      <c r="Q86" s="328"/>
      <c r="R86" s="328"/>
      <c r="S86" s="328"/>
      <c r="T86" s="328"/>
      <c r="U86" s="328"/>
      <c r="V86" s="328"/>
      <c r="W86" s="329"/>
      <c r="X86" s="57"/>
      <c r="Y86" s="57"/>
      <c r="Z86" s="57"/>
    </row>
    <row r="87" spans="1:26" ht="13.5">
      <c r="A87" s="57"/>
      <c r="B87" s="265" t="s">
        <v>611</v>
      </c>
      <c r="C87" s="353"/>
      <c r="D87" s="123"/>
      <c r="E87" s="123"/>
      <c r="F87" s="123"/>
      <c r="G87" s="123"/>
      <c r="H87" s="123"/>
      <c r="I87" s="123"/>
      <c r="J87" s="123"/>
      <c r="K87" s="124"/>
      <c r="L87" s="57"/>
      <c r="M87" s="130"/>
      <c r="N87" s="328"/>
      <c r="O87" s="328"/>
      <c r="P87" s="328"/>
      <c r="Q87" s="328"/>
      <c r="R87" s="328"/>
      <c r="S87" s="328"/>
      <c r="T87" s="328"/>
      <c r="U87" s="328"/>
      <c r="V87" s="328"/>
      <c r="W87" s="329"/>
      <c r="X87" s="57"/>
      <c r="Y87" s="57"/>
      <c r="Z87" s="57"/>
    </row>
    <row r="88" spans="1:26" ht="13.5">
      <c r="A88" s="57"/>
      <c r="B88" s="265" t="s">
        <v>614</v>
      </c>
      <c r="C88" s="353"/>
      <c r="D88" s="123"/>
      <c r="E88" s="123"/>
      <c r="F88" s="123"/>
      <c r="G88" s="123"/>
      <c r="H88" s="123"/>
      <c r="I88" s="123"/>
      <c r="J88" s="123"/>
      <c r="K88" s="124"/>
      <c r="L88" s="57"/>
      <c r="M88" s="325" t="s">
        <v>1217</v>
      </c>
      <c r="N88" s="328"/>
      <c r="O88" s="328"/>
      <c r="P88" s="328"/>
      <c r="Q88" s="328"/>
      <c r="R88" s="328"/>
      <c r="S88" s="328"/>
      <c r="T88" s="328"/>
      <c r="U88" s="328"/>
      <c r="V88" s="328"/>
      <c r="W88" s="329"/>
      <c r="X88" s="57"/>
      <c r="Y88" s="57"/>
      <c r="Z88" s="57"/>
    </row>
    <row r="89" spans="1:26" ht="13.5">
      <c r="A89" s="57"/>
      <c r="B89" s="265" t="s">
        <v>612</v>
      </c>
      <c r="C89" s="353"/>
      <c r="D89" s="123"/>
      <c r="E89" s="123"/>
      <c r="F89" s="123"/>
      <c r="G89" s="123"/>
      <c r="H89" s="123"/>
      <c r="I89" s="123"/>
      <c r="J89" s="123"/>
      <c r="K89" s="124"/>
      <c r="L89" s="57"/>
      <c r="M89" s="325" t="s">
        <v>1267</v>
      </c>
      <c r="N89" s="328"/>
      <c r="O89" s="328"/>
      <c r="P89" s="328"/>
      <c r="Q89" s="328"/>
      <c r="R89" s="328"/>
      <c r="S89" s="328"/>
      <c r="T89" s="328"/>
      <c r="U89" s="328"/>
      <c r="V89" s="328"/>
      <c r="W89" s="329"/>
      <c r="X89" s="57"/>
      <c r="Y89" s="57"/>
      <c r="Z89" s="57"/>
    </row>
    <row r="90" spans="1:26" ht="13.5">
      <c r="A90" s="57"/>
      <c r="B90" s="265" t="s">
        <v>613</v>
      </c>
      <c r="C90" s="353"/>
      <c r="D90" s="123"/>
      <c r="E90" s="123"/>
      <c r="F90" s="123"/>
      <c r="G90" s="123"/>
      <c r="H90" s="123"/>
      <c r="I90" s="123"/>
      <c r="J90" s="123"/>
      <c r="K90" s="124"/>
      <c r="L90" s="57"/>
      <c r="M90" s="339"/>
      <c r="N90" s="340"/>
      <c r="O90" s="341"/>
      <c r="P90" s="340"/>
      <c r="Q90" s="340"/>
      <c r="R90" s="340"/>
      <c r="S90" s="341"/>
      <c r="T90" s="342"/>
      <c r="U90" s="340"/>
      <c r="V90" s="340"/>
      <c r="W90" s="343"/>
      <c r="X90" s="57"/>
      <c r="Y90" s="57"/>
      <c r="Z90" s="57"/>
    </row>
    <row r="91" spans="1:26" ht="13.5">
      <c r="A91" s="57"/>
      <c r="B91" s="265" t="s">
        <v>896</v>
      </c>
      <c r="C91" s="353"/>
      <c r="D91" s="123"/>
      <c r="E91" s="123"/>
      <c r="F91" s="123"/>
      <c r="G91" s="123"/>
      <c r="H91" s="123"/>
      <c r="I91" s="123"/>
      <c r="J91" s="123"/>
      <c r="K91" s="124"/>
      <c r="L91" s="57"/>
      <c r="M91" s="325" t="s">
        <v>1221</v>
      </c>
      <c r="N91" s="328"/>
      <c r="O91" s="332"/>
      <c r="P91" s="328"/>
      <c r="Q91" s="328"/>
      <c r="R91" s="328"/>
      <c r="S91" s="328"/>
      <c r="T91" s="328"/>
      <c r="U91" s="328"/>
      <c r="V91" s="328"/>
      <c r="W91" s="329"/>
      <c r="X91" s="57"/>
      <c r="Y91" s="57"/>
      <c r="Z91" s="57"/>
    </row>
    <row r="92" spans="1:26" ht="13.5">
      <c r="A92" s="57"/>
      <c r="B92" s="265"/>
      <c r="C92" s="353"/>
      <c r="D92" s="123"/>
      <c r="E92" s="123"/>
      <c r="F92" s="123"/>
      <c r="G92" s="123"/>
      <c r="H92" s="123"/>
      <c r="I92" s="123"/>
      <c r="J92" s="123"/>
      <c r="K92" s="124"/>
      <c r="L92" s="57"/>
      <c r="M92" s="325" t="s">
        <v>1222</v>
      </c>
      <c r="N92" s="328"/>
      <c r="O92" s="328"/>
      <c r="P92" s="328"/>
      <c r="Q92" s="328"/>
      <c r="R92" s="328"/>
      <c r="S92" s="328"/>
      <c r="T92" s="328"/>
      <c r="U92" s="328"/>
      <c r="V92" s="328"/>
      <c r="W92" s="329"/>
      <c r="X92" s="57"/>
      <c r="Y92" s="57"/>
      <c r="Z92" s="57"/>
    </row>
    <row r="93" spans="1:26" ht="13.5">
      <c r="A93" s="57"/>
      <c r="B93" s="265" t="s">
        <v>205</v>
      </c>
      <c r="C93" s="123"/>
      <c r="D93" s="123"/>
      <c r="E93" s="123"/>
      <c r="F93" s="123"/>
      <c r="G93" s="123"/>
      <c r="H93" s="123"/>
      <c r="I93" s="123"/>
      <c r="J93" s="123"/>
      <c r="K93" s="124"/>
      <c r="L93" s="57"/>
      <c r="M93" s="339"/>
      <c r="N93" s="340"/>
      <c r="O93" s="340"/>
      <c r="P93" s="340"/>
      <c r="Q93" s="340"/>
      <c r="R93" s="340"/>
      <c r="S93" s="340"/>
      <c r="T93" s="340"/>
      <c r="U93" s="340"/>
      <c r="V93" s="340"/>
      <c r="W93" s="343"/>
      <c r="X93" s="57"/>
      <c r="Y93" s="57"/>
      <c r="Z93" s="57"/>
    </row>
    <row r="94" spans="1:26" ht="13.5">
      <c r="A94" s="57"/>
      <c r="B94" s="321" t="s">
        <v>203</v>
      </c>
      <c r="C94" s="123"/>
      <c r="D94" s="123" t="s">
        <v>204</v>
      </c>
      <c r="E94" s="123"/>
      <c r="F94" s="123"/>
      <c r="G94" s="123"/>
      <c r="H94" s="123"/>
      <c r="I94" s="123"/>
      <c r="J94" s="123"/>
      <c r="K94" s="124"/>
      <c r="L94" s="57"/>
      <c r="M94" s="325" t="s">
        <v>1268</v>
      </c>
      <c r="N94" s="328"/>
      <c r="O94" s="328"/>
      <c r="P94" s="328"/>
      <c r="Q94" s="328"/>
      <c r="R94" s="328"/>
      <c r="S94" s="328"/>
      <c r="T94" s="328"/>
      <c r="U94" s="328"/>
      <c r="V94" s="328"/>
      <c r="W94" s="329"/>
      <c r="X94" s="57"/>
      <c r="Y94" s="57"/>
      <c r="Z94" s="57"/>
    </row>
    <row r="95" spans="1:26" ht="13.5">
      <c r="A95" s="57"/>
      <c r="B95" s="321" t="s">
        <v>206</v>
      </c>
      <c r="C95" s="353"/>
      <c r="D95" s="123"/>
      <c r="E95" s="123"/>
      <c r="F95" s="123"/>
      <c r="G95" s="123"/>
      <c r="H95" s="123"/>
      <c r="I95" s="123"/>
      <c r="J95" s="123"/>
      <c r="K95" s="124"/>
      <c r="L95" s="57"/>
      <c r="M95" s="325" t="s">
        <v>1287</v>
      </c>
      <c r="N95" s="328"/>
      <c r="O95" s="328"/>
      <c r="P95" s="328"/>
      <c r="Q95" s="328"/>
      <c r="R95" s="328"/>
      <c r="S95" s="328"/>
      <c r="T95" s="328"/>
      <c r="U95" s="328"/>
      <c r="V95" s="328"/>
      <c r="W95" s="329"/>
      <c r="X95" s="57"/>
      <c r="Y95" s="57"/>
      <c r="Z95" s="57"/>
    </row>
    <row r="96" spans="1:26" ht="13.5">
      <c r="A96" s="57"/>
      <c r="B96" s="265" t="s">
        <v>207</v>
      </c>
      <c r="C96" s="353"/>
      <c r="D96" s="123"/>
      <c r="E96" s="123"/>
      <c r="F96" s="123"/>
      <c r="G96" s="123"/>
      <c r="H96" s="123"/>
      <c r="I96" s="123"/>
      <c r="J96" s="123"/>
      <c r="K96" s="124"/>
      <c r="L96" s="57"/>
      <c r="M96" s="325" t="s">
        <v>1223</v>
      </c>
      <c r="N96" s="326"/>
      <c r="O96" s="326"/>
      <c r="P96" s="326"/>
      <c r="Q96" s="326"/>
      <c r="R96" s="326"/>
      <c r="S96" s="326"/>
      <c r="T96" s="328"/>
      <c r="U96" s="328"/>
      <c r="V96" s="328"/>
      <c r="W96" s="329"/>
      <c r="X96" s="57"/>
      <c r="Y96" s="57"/>
      <c r="Z96" s="57"/>
    </row>
    <row r="97" spans="1:26" ht="14.25" thickBot="1">
      <c r="A97" s="57"/>
      <c r="B97" s="265" t="s">
        <v>896</v>
      </c>
      <c r="C97" s="353"/>
      <c r="D97" s="123"/>
      <c r="E97" s="123"/>
      <c r="F97" s="123"/>
      <c r="G97" s="123"/>
      <c r="H97" s="123"/>
      <c r="I97" s="123"/>
      <c r="J97" s="123"/>
      <c r="K97" s="124"/>
      <c r="L97" s="57"/>
      <c r="M97" s="348" t="s">
        <v>692</v>
      </c>
      <c r="N97" s="344"/>
      <c r="O97" s="344"/>
      <c r="P97" s="344"/>
      <c r="Q97" s="344"/>
      <c r="R97" s="344"/>
      <c r="S97" s="344"/>
      <c r="T97" s="337"/>
      <c r="U97" s="337"/>
      <c r="V97" s="337"/>
      <c r="W97" s="338"/>
      <c r="X97" s="57"/>
      <c r="Y97" s="57"/>
      <c r="Z97" s="57"/>
    </row>
    <row r="98" spans="1:26" ht="14.25" thickBot="1">
      <c r="A98" s="57"/>
      <c r="B98" s="265"/>
      <c r="C98" s="353"/>
      <c r="D98" s="123"/>
      <c r="E98" s="123"/>
      <c r="F98" s="123"/>
      <c r="G98" s="123"/>
      <c r="H98" s="123"/>
      <c r="I98" s="123"/>
      <c r="J98" s="123"/>
      <c r="K98" s="124"/>
      <c r="L98" s="57"/>
      <c r="M98" s="1842" t="s">
        <v>166</v>
      </c>
      <c r="N98" s="1843"/>
      <c r="O98" s="1843"/>
      <c r="P98" s="1843"/>
      <c r="Q98" s="1843"/>
      <c r="R98" s="1843"/>
      <c r="S98" s="1843"/>
      <c r="T98" s="1843"/>
      <c r="U98" s="1843"/>
      <c r="V98" s="1843"/>
      <c r="W98" s="1844"/>
      <c r="X98" s="57"/>
      <c r="Y98" s="57"/>
      <c r="Z98" s="57"/>
    </row>
    <row r="99" spans="1:26" ht="14.25" thickBot="1">
      <c r="A99" s="57"/>
      <c r="B99" s="265" t="s">
        <v>385</v>
      </c>
      <c r="C99" s="123"/>
      <c r="D99" s="123"/>
      <c r="E99" s="123"/>
      <c r="F99" s="123"/>
      <c r="G99" s="123"/>
      <c r="H99" s="123"/>
      <c r="I99" s="123"/>
      <c r="J99" s="123"/>
      <c r="K99" s="124"/>
      <c r="L99" s="57"/>
      <c r="M99" s="1845">
        <v>999999</v>
      </c>
      <c r="N99" s="1846"/>
      <c r="O99" s="1846"/>
      <c r="P99" s="1846"/>
      <c r="Q99" s="1846"/>
      <c r="R99" s="1846"/>
      <c r="S99" s="1846"/>
      <c r="T99" s="1846"/>
      <c r="U99" s="1846"/>
      <c r="V99" s="1846"/>
      <c r="W99" s="1847"/>
      <c r="X99" s="57"/>
      <c r="Y99" s="57"/>
      <c r="Z99" s="57"/>
    </row>
    <row r="100" spans="1:26" ht="13.5">
      <c r="A100" s="57"/>
      <c r="B100" s="321" t="s">
        <v>384</v>
      </c>
      <c r="C100" s="123"/>
      <c r="D100" s="123" t="s">
        <v>638</v>
      </c>
      <c r="E100" s="123"/>
      <c r="F100" s="123"/>
      <c r="G100" s="123"/>
      <c r="H100" s="123"/>
      <c r="I100" s="123"/>
      <c r="J100" s="123"/>
      <c r="K100" s="124"/>
      <c r="L100" s="57"/>
      <c r="X100" s="57"/>
      <c r="Y100" s="57"/>
      <c r="Z100" s="57"/>
    </row>
    <row r="101" spans="1:26" ht="13.5">
      <c r="A101" s="57"/>
      <c r="B101" s="265" t="s">
        <v>386</v>
      </c>
      <c r="C101" s="353"/>
      <c r="D101" s="123"/>
      <c r="E101" s="123"/>
      <c r="F101" s="123"/>
      <c r="G101" s="123"/>
      <c r="H101" s="123"/>
      <c r="I101" s="123"/>
      <c r="J101" s="123"/>
      <c r="K101" s="124"/>
      <c r="L101" s="57"/>
      <c r="X101" s="57"/>
      <c r="Y101" s="57"/>
      <c r="Z101" s="57"/>
    </row>
    <row r="102" spans="1:26" ht="13.5">
      <c r="A102" s="57"/>
      <c r="B102" s="265" t="s">
        <v>387</v>
      </c>
      <c r="C102" s="353"/>
      <c r="D102" s="123"/>
      <c r="E102" s="123"/>
      <c r="F102" s="123"/>
      <c r="G102" s="123"/>
      <c r="H102" s="123"/>
      <c r="I102" s="123"/>
      <c r="J102" s="123"/>
      <c r="K102" s="124"/>
      <c r="L102" s="57"/>
      <c r="X102" s="57"/>
      <c r="Y102" s="57"/>
      <c r="Z102" s="57"/>
    </row>
    <row r="103" spans="1:26" ht="13.5">
      <c r="A103" s="57"/>
      <c r="B103" s="265" t="s">
        <v>1346</v>
      </c>
      <c r="C103" s="353"/>
      <c r="D103" s="123"/>
      <c r="E103" s="123"/>
      <c r="F103" s="123"/>
      <c r="G103" s="123"/>
      <c r="H103" s="123"/>
      <c r="I103" s="123"/>
      <c r="J103" s="123"/>
      <c r="K103" s="124"/>
      <c r="L103" s="57"/>
      <c r="X103" s="57"/>
      <c r="Y103" s="57"/>
      <c r="Z103" s="57"/>
    </row>
    <row r="104" spans="1:26" ht="13.5">
      <c r="A104" s="57"/>
      <c r="B104" s="265" t="s">
        <v>896</v>
      </c>
      <c r="C104" s="353"/>
      <c r="D104" s="123"/>
      <c r="E104" s="123"/>
      <c r="F104" s="123"/>
      <c r="G104" s="123"/>
      <c r="H104" s="123"/>
      <c r="I104" s="123"/>
      <c r="J104" s="123"/>
      <c r="K104" s="124"/>
      <c r="L104" s="57"/>
      <c r="X104" s="57"/>
      <c r="Y104" s="57"/>
      <c r="Z104" s="57"/>
    </row>
    <row r="105" spans="1:26" ht="13.5">
      <c r="A105" s="57"/>
      <c r="B105" s="265"/>
      <c r="C105" s="353"/>
      <c r="D105" s="123"/>
      <c r="E105" s="123"/>
      <c r="F105" s="123"/>
      <c r="G105" s="123"/>
      <c r="H105" s="123"/>
      <c r="I105" s="123"/>
      <c r="J105" s="123"/>
      <c r="K105" s="124"/>
      <c r="L105" s="57"/>
      <c r="X105" s="57"/>
      <c r="Y105" s="57"/>
      <c r="Z105" s="57"/>
    </row>
    <row r="106" spans="1:26" ht="13.5">
      <c r="A106" s="57"/>
      <c r="B106" s="265" t="s">
        <v>889</v>
      </c>
      <c r="C106" s="123"/>
      <c r="D106" s="123"/>
      <c r="E106" s="123"/>
      <c r="F106" s="123"/>
      <c r="G106" s="123"/>
      <c r="H106" s="123"/>
      <c r="I106" s="123"/>
      <c r="J106" s="123"/>
      <c r="K106" s="124"/>
      <c r="L106" s="57"/>
      <c r="X106" s="57"/>
      <c r="Y106" s="57"/>
      <c r="Z106" s="57"/>
    </row>
    <row r="107" spans="1:26" ht="13.5">
      <c r="A107" s="57"/>
      <c r="B107" s="321" t="s">
        <v>885</v>
      </c>
      <c r="C107" s="123"/>
      <c r="D107" s="123" t="s">
        <v>638</v>
      </c>
      <c r="E107" s="123"/>
      <c r="F107" s="123"/>
      <c r="G107" s="123"/>
      <c r="H107" s="123"/>
      <c r="I107" s="123"/>
      <c r="J107" s="123"/>
      <c r="K107" s="124"/>
      <c r="L107" s="57"/>
      <c r="X107" s="57"/>
      <c r="Y107" s="57"/>
      <c r="Z107" s="57"/>
    </row>
    <row r="108" spans="1:26" ht="13.5">
      <c r="A108" s="57"/>
      <c r="B108" s="265" t="s">
        <v>886</v>
      </c>
      <c r="C108" s="353"/>
      <c r="D108" s="123"/>
      <c r="E108" s="123"/>
      <c r="F108" s="123"/>
      <c r="G108" s="123"/>
      <c r="H108" s="123"/>
      <c r="I108" s="123"/>
      <c r="J108" s="123"/>
      <c r="K108" s="124"/>
      <c r="L108" s="57"/>
      <c r="X108" s="57"/>
      <c r="Y108" s="57"/>
      <c r="Z108" s="57"/>
    </row>
    <row r="109" spans="1:26" ht="13.5">
      <c r="A109" s="57"/>
      <c r="B109" s="265" t="s">
        <v>887</v>
      </c>
      <c r="C109" s="353"/>
      <c r="D109" s="123"/>
      <c r="E109" s="123"/>
      <c r="F109" s="123"/>
      <c r="G109" s="123"/>
      <c r="H109" s="123"/>
      <c r="I109" s="123"/>
      <c r="J109" s="123"/>
      <c r="K109" s="124"/>
      <c r="L109" s="57"/>
      <c r="X109" s="57"/>
      <c r="Y109" s="57"/>
      <c r="Z109" s="57"/>
    </row>
    <row r="110" spans="1:26" ht="13.5">
      <c r="A110" s="57"/>
      <c r="B110" s="265" t="s">
        <v>888</v>
      </c>
      <c r="C110" s="353"/>
      <c r="D110" s="123"/>
      <c r="E110" s="123"/>
      <c r="F110" s="123"/>
      <c r="G110" s="123"/>
      <c r="H110" s="123"/>
      <c r="I110" s="123"/>
      <c r="J110" s="123"/>
      <c r="K110" s="124"/>
      <c r="L110" s="57"/>
      <c r="X110" s="57"/>
      <c r="Y110" s="57"/>
      <c r="Z110" s="57"/>
    </row>
    <row r="111" spans="1:26" ht="13.5">
      <c r="A111" s="57"/>
      <c r="B111" s="265" t="s">
        <v>896</v>
      </c>
      <c r="C111" s="353"/>
      <c r="D111" s="123"/>
      <c r="E111" s="123"/>
      <c r="F111" s="123"/>
      <c r="G111" s="123"/>
      <c r="H111" s="123"/>
      <c r="I111" s="123"/>
      <c r="J111" s="123"/>
      <c r="K111" s="124"/>
      <c r="L111" s="57"/>
      <c r="X111" s="57"/>
      <c r="Y111" s="57"/>
      <c r="Z111" s="57"/>
    </row>
    <row r="112" spans="1:26" ht="13.5">
      <c r="A112" s="57"/>
      <c r="B112" s="265"/>
      <c r="C112" s="353"/>
      <c r="D112" s="123"/>
      <c r="E112" s="123"/>
      <c r="F112" s="123"/>
      <c r="G112" s="123"/>
      <c r="H112" s="123"/>
      <c r="I112" s="123"/>
      <c r="J112" s="123"/>
      <c r="K112" s="124"/>
      <c r="L112" s="57"/>
      <c r="X112" s="57"/>
      <c r="Y112" s="57"/>
      <c r="Z112" s="57"/>
    </row>
    <row r="113" spans="1:26" ht="13.5">
      <c r="A113" s="57"/>
      <c r="B113" s="265" t="s">
        <v>39</v>
      </c>
      <c r="C113" s="123"/>
      <c r="D113" s="123"/>
      <c r="E113" s="123"/>
      <c r="F113" s="123"/>
      <c r="G113" s="123"/>
      <c r="H113" s="123"/>
      <c r="I113" s="123"/>
      <c r="J113" s="123"/>
      <c r="K113" s="124"/>
      <c r="L113" s="57"/>
      <c r="X113" s="57"/>
      <c r="Y113" s="57"/>
      <c r="Z113" s="57"/>
    </row>
    <row r="114" spans="1:26" ht="13.5">
      <c r="A114" s="57"/>
      <c r="B114" s="321" t="s">
        <v>40</v>
      </c>
      <c r="C114" s="123"/>
      <c r="D114" s="123" t="s">
        <v>894</v>
      </c>
      <c r="E114" s="123"/>
      <c r="F114" s="123"/>
      <c r="G114" s="123"/>
      <c r="H114" s="123"/>
      <c r="I114" s="123"/>
      <c r="J114" s="123"/>
      <c r="K114" s="124"/>
      <c r="L114" s="57"/>
      <c r="X114" s="57"/>
      <c r="Y114" s="57"/>
      <c r="Z114" s="57"/>
    </row>
    <row r="115" spans="1:26" ht="13.5">
      <c r="A115" s="57"/>
      <c r="B115" s="265" t="s">
        <v>41</v>
      </c>
      <c r="C115" s="353"/>
      <c r="D115" s="123"/>
      <c r="E115" s="123"/>
      <c r="F115" s="123"/>
      <c r="G115" s="123"/>
      <c r="H115" s="123"/>
      <c r="I115" s="123"/>
      <c r="J115" s="123"/>
      <c r="K115" s="124"/>
      <c r="L115" s="57"/>
      <c r="X115" s="57"/>
      <c r="Y115" s="57"/>
      <c r="Z115" s="57"/>
    </row>
    <row r="116" spans="1:26" ht="13.5">
      <c r="A116" s="57"/>
      <c r="B116" s="265" t="s">
        <v>42</v>
      </c>
      <c r="C116" s="353"/>
      <c r="D116" s="123"/>
      <c r="E116" s="123"/>
      <c r="F116" s="123"/>
      <c r="G116" s="123"/>
      <c r="H116" s="123"/>
      <c r="I116" s="123"/>
      <c r="J116" s="123"/>
      <c r="K116" s="124"/>
      <c r="L116" s="57"/>
      <c r="X116" s="57"/>
      <c r="Y116" s="57"/>
      <c r="Z116" s="57"/>
    </row>
    <row r="117" spans="1:26" ht="13.5">
      <c r="A117" s="57"/>
      <c r="B117" s="265" t="s">
        <v>43</v>
      </c>
      <c r="C117" s="353"/>
      <c r="D117" s="123"/>
      <c r="E117" s="123"/>
      <c r="F117" s="123"/>
      <c r="G117" s="123"/>
      <c r="H117" s="123"/>
      <c r="I117" s="123"/>
      <c r="J117" s="123"/>
      <c r="K117" s="124"/>
      <c r="L117" s="57"/>
      <c r="X117" s="57"/>
      <c r="Y117" s="57"/>
      <c r="Z117" s="57"/>
    </row>
    <row r="118" spans="1:26" ht="13.5">
      <c r="A118" s="57"/>
      <c r="B118" s="265" t="s">
        <v>44</v>
      </c>
      <c r="C118" s="353"/>
      <c r="D118" s="123"/>
      <c r="E118" s="123"/>
      <c r="F118" s="123"/>
      <c r="G118" s="123"/>
      <c r="H118" s="123"/>
      <c r="I118" s="123"/>
      <c r="J118" s="123"/>
      <c r="K118" s="124"/>
      <c r="L118" s="57"/>
      <c r="X118" s="57"/>
      <c r="Y118" s="57"/>
      <c r="Z118" s="57"/>
    </row>
    <row r="119" spans="1:26" ht="13.5">
      <c r="A119" s="57"/>
      <c r="B119" s="265" t="s">
        <v>896</v>
      </c>
      <c r="C119" s="353"/>
      <c r="D119" s="123"/>
      <c r="E119" s="123"/>
      <c r="F119" s="123"/>
      <c r="G119" s="123"/>
      <c r="H119" s="123"/>
      <c r="I119" s="123"/>
      <c r="J119" s="123"/>
      <c r="K119" s="124"/>
      <c r="L119" s="57"/>
      <c r="X119" s="57"/>
      <c r="Y119" s="57"/>
      <c r="Z119" s="57"/>
    </row>
    <row r="120" spans="1:26" ht="13.5">
      <c r="A120" s="57"/>
      <c r="B120" s="265"/>
      <c r="C120" s="353"/>
      <c r="D120" s="123"/>
      <c r="E120" s="123"/>
      <c r="F120" s="123"/>
      <c r="G120" s="123"/>
      <c r="H120" s="123"/>
      <c r="I120" s="123"/>
      <c r="J120" s="123"/>
      <c r="K120" s="124"/>
      <c r="L120" s="57"/>
      <c r="X120" s="57"/>
      <c r="Y120" s="57"/>
      <c r="Z120" s="57"/>
    </row>
    <row r="121" spans="1:26" ht="13.5">
      <c r="A121" s="57"/>
      <c r="B121" s="265" t="s">
        <v>1257</v>
      </c>
      <c r="C121" s="123"/>
      <c r="D121" s="123"/>
      <c r="E121" s="123"/>
      <c r="F121" s="123"/>
      <c r="G121" s="123"/>
      <c r="H121" s="123"/>
      <c r="I121" s="123"/>
      <c r="J121" s="123"/>
      <c r="K121" s="124"/>
      <c r="L121" s="57"/>
      <c r="X121" s="57"/>
      <c r="Y121" s="57"/>
      <c r="Z121" s="57"/>
    </row>
    <row r="122" spans="1:26" ht="13.5">
      <c r="A122" s="57"/>
      <c r="B122" s="321" t="s">
        <v>1262</v>
      </c>
      <c r="C122" s="123"/>
      <c r="D122" s="123" t="s">
        <v>894</v>
      </c>
      <c r="E122" s="123"/>
      <c r="F122" s="123"/>
      <c r="G122" s="123"/>
      <c r="H122" s="123"/>
      <c r="I122" s="123"/>
      <c r="J122" s="123"/>
      <c r="K122" s="124"/>
      <c r="L122" s="57"/>
      <c r="X122" s="57"/>
      <c r="Y122" s="57"/>
      <c r="Z122" s="57"/>
    </row>
    <row r="123" spans="1:26" ht="13.5">
      <c r="A123" s="57"/>
      <c r="B123" s="265" t="s">
        <v>1258</v>
      </c>
      <c r="C123" s="123"/>
      <c r="D123" s="123"/>
      <c r="E123" s="123"/>
      <c r="F123" s="123"/>
      <c r="G123" s="123"/>
      <c r="H123" s="123"/>
      <c r="I123" s="123"/>
      <c r="J123" s="123"/>
      <c r="K123" s="124"/>
      <c r="L123" s="57"/>
      <c r="X123" s="57"/>
      <c r="Y123" s="57"/>
      <c r="Z123" s="57"/>
    </row>
    <row r="124" spans="1:26" ht="13.5">
      <c r="A124" s="57"/>
      <c r="B124" s="265" t="s">
        <v>1259</v>
      </c>
      <c r="C124" s="123"/>
      <c r="D124" s="123"/>
      <c r="E124" s="123"/>
      <c r="F124" s="123"/>
      <c r="G124" s="123"/>
      <c r="H124" s="123"/>
      <c r="I124" s="123"/>
      <c r="J124" s="123"/>
      <c r="K124" s="124"/>
      <c r="L124" s="57"/>
      <c r="X124" s="57"/>
      <c r="Y124" s="57"/>
      <c r="Z124" s="57"/>
    </row>
    <row r="125" spans="1:26" ht="13.5">
      <c r="A125" s="57"/>
      <c r="B125" s="265" t="s">
        <v>937</v>
      </c>
      <c r="C125" s="123"/>
      <c r="D125" s="123"/>
      <c r="E125" s="123"/>
      <c r="F125" s="123"/>
      <c r="G125" s="123"/>
      <c r="H125" s="123"/>
      <c r="I125" s="123"/>
      <c r="J125" s="123"/>
      <c r="K125" s="124"/>
      <c r="L125" s="57"/>
      <c r="X125" s="57"/>
      <c r="Y125" s="57"/>
      <c r="Z125" s="57"/>
    </row>
    <row r="126" spans="1:26" ht="13.5">
      <c r="A126" s="57"/>
      <c r="B126" s="265" t="s">
        <v>1261</v>
      </c>
      <c r="C126" s="123"/>
      <c r="D126" s="123"/>
      <c r="E126" s="123"/>
      <c r="F126" s="123"/>
      <c r="G126" s="123"/>
      <c r="H126" s="123"/>
      <c r="I126" s="123"/>
      <c r="J126" s="123"/>
      <c r="K126" s="124"/>
      <c r="L126" s="57"/>
      <c r="X126" s="57"/>
      <c r="Y126" s="57"/>
      <c r="Z126" s="57"/>
    </row>
    <row r="127" spans="1:26" ht="13.5">
      <c r="A127" s="57"/>
      <c r="B127" s="265" t="s">
        <v>1260</v>
      </c>
      <c r="C127" s="123"/>
      <c r="D127" s="123"/>
      <c r="E127" s="123"/>
      <c r="F127" s="123"/>
      <c r="G127" s="123"/>
      <c r="H127" s="123"/>
      <c r="I127" s="123"/>
      <c r="J127" s="123"/>
      <c r="K127" s="124"/>
      <c r="L127" s="57"/>
      <c r="X127" s="57"/>
      <c r="Y127" s="57"/>
      <c r="Z127" s="57"/>
    </row>
    <row r="128" spans="1:26" ht="13.5">
      <c r="A128" s="57"/>
      <c r="B128" s="265" t="s">
        <v>896</v>
      </c>
      <c r="C128" s="123"/>
      <c r="D128" s="123"/>
      <c r="E128" s="123"/>
      <c r="F128" s="123"/>
      <c r="G128" s="123"/>
      <c r="H128" s="123"/>
      <c r="I128" s="123"/>
      <c r="J128" s="123"/>
      <c r="K128" s="124"/>
      <c r="L128" s="57"/>
      <c r="X128" s="57"/>
      <c r="Y128" s="57"/>
      <c r="Z128" s="57"/>
    </row>
    <row r="129" spans="1:26" ht="13.5">
      <c r="A129" s="57"/>
      <c r="B129" s="265"/>
      <c r="C129" s="123"/>
      <c r="D129" s="123"/>
      <c r="E129" s="123"/>
      <c r="F129" s="123"/>
      <c r="G129" s="123"/>
      <c r="H129" s="123"/>
      <c r="I129" s="123"/>
      <c r="J129" s="123"/>
      <c r="K129" s="124"/>
      <c r="L129" s="57"/>
      <c r="X129" s="57"/>
      <c r="Y129" s="57"/>
      <c r="Z129" s="57"/>
    </row>
    <row r="130" spans="1:26" ht="13.5">
      <c r="A130" s="57"/>
      <c r="B130" s="265" t="s">
        <v>211</v>
      </c>
      <c r="C130" s="123"/>
      <c r="D130" s="123"/>
      <c r="E130" s="123"/>
      <c r="F130" s="123"/>
      <c r="G130" s="123"/>
      <c r="H130" s="123"/>
      <c r="I130" s="123"/>
      <c r="J130" s="123"/>
      <c r="K130" s="124"/>
      <c r="L130" s="57"/>
      <c r="X130" s="57"/>
      <c r="Y130" s="57"/>
      <c r="Z130" s="57"/>
    </row>
    <row r="131" spans="1:26" ht="13.5">
      <c r="A131" s="57"/>
      <c r="B131" s="321" t="s">
        <v>212</v>
      </c>
      <c r="C131" s="123"/>
      <c r="D131" s="123" t="s">
        <v>894</v>
      </c>
      <c r="E131" s="123"/>
      <c r="F131" s="123"/>
      <c r="G131" s="123"/>
      <c r="H131" s="123"/>
      <c r="I131" s="123"/>
      <c r="J131" s="123"/>
      <c r="K131" s="124"/>
      <c r="L131" s="57"/>
      <c r="X131" s="57"/>
      <c r="Y131" s="57"/>
      <c r="Z131" s="57"/>
    </row>
    <row r="132" spans="1:26" ht="13.5">
      <c r="A132" s="57"/>
      <c r="B132" s="265" t="s">
        <v>213</v>
      </c>
      <c r="C132" s="353"/>
      <c r="D132" s="353"/>
      <c r="E132" s="353"/>
      <c r="F132" s="353"/>
      <c r="G132" s="353"/>
      <c r="H132" s="353"/>
      <c r="I132" s="353"/>
      <c r="J132" s="353"/>
      <c r="K132" s="485"/>
      <c r="L132" s="57"/>
      <c r="X132" s="57"/>
      <c r="Y132" s="57"/>
      <c r="Z132" s="57"/>
    </row>
    <row r="133" spans="1:26" ht="13.5">
      <c r="A133" s="57"/>
      <c r="B133" s="265" t="s">
        <v>215</v>
      </c>
      <c r="C133" s="353"/>
      <c r="D133" s="353"/>
      <c r="E133" s="353"/>
      <c r="F133" s="353"/>
      <c r="G133" s="353"/>
      <c r="H133" s="353"/>
      <c r="I133" s="353"/>
      <c r="J133" s="353"/>
      <c r="K133" s="485"/>
      <c r="L133" s="57"/>
      <c r="X133" s="57"/>
      <c r="Y133" s="57"/>
      <c r="Z133" s="57"/>
    </row>
    <row r="134" spans="1:26" ht="13.5">
      <c r="A134" s="57"/>
      <c r="B134" s="265" t="s">
        <v>216</v>
      </c>
      <c r="C134" s="353"/>
      <c r="D134" s="353"/>
      <c r="E134" s="353"/>
      <c r="F134" s="353"/>
      <c r="G134" s="353"/>
      <c r="H134" s="353"/>
      <c r="I134" s="353"/>
      <c r="J134" s="353"/>
      <c r="K134" s="485"/>
      <c r="L134" s="57"/>
      <c r="X134" s="57"/>
      <c r="Y134" s="57"/>
      <c r="Z134" s="57"/>
    </row>
    <row r="135" spans="1:26" ht="13.5">
      <c r="A135" s="57"/>
      <c r="B135" s="265" t="s">
        <v>896</v>
      </c>
      <c r="C135" s="353"/>
      <c r="D135" s="353"/>
      <c r="E135" s="353"/>
      <c r="F135" s="353"/>
      <c r="G135" s="353"/>
      <c r="H135" s="353"/>
      <c r="I135" s="353"/>
      <c r="J135" s="353"/>
      <c r="K135" s="485"/>
      <c r="L135" s="57"/>
      <c r="X135" s="57"/>
      <c r="Y135" s="57"/>
      <c r="Z135" s="57"/>
    </row>
    <row r="136" spans="1:26" ht="13.5">
      <c r="A136" s="57"/>
      <c r="B136" s="265"/>
      <c r="C136" s="353"/>
      <c r="D136" s="353"/>
      <c r="E136" s="353"/>
      <c r="F136" s="353"/>
      <c r="G136" s="353"/>
      <c r="H136" s="353"/>
      <c r="I136" s="353"/>
      <c r="J136" s="353"/>
      <c r="K136" s="485"/>
      <c r="L136" s="57"/>
      <c r="X136" s="57"/>
      <c r="Y136" s="57"/>
      <c r="Z136" s="57"/>
    </row>
    <row r="137" spans="1:26" ht="13.5">
      <c r="A137" s="57"/>
      <c r="B137" s="265" t="s">
        <v>892</v>
      </c>
      <c r="C137" s="123"/>
      <c r="D137" s="123"/>
      <c r="E137" s="123"/>
      <c r="F137" s="123"/>
      <c r="G137" s="123"/>
      <c r="H137" s="123"/>
      <c r="I137" s="123"/>
      <c r="J137" s="123"/>
      <c r="K137" s="124"/>
      <c r="L137" s="57"/>
      <c r="X137" s="57"/>
      <c r="Y137" s="57"/>
      <c r="Z137" s="57"/>
    </row>
    <row r="138" spans="1:26" ht="13.5">
      <c r="A138" s="57"/>
      <c r="B138" s="321" t="s">
        <v>893</v>
      </c>
      <c r="C138" s="123"/>
      <c r="D138" s="123" t="s">
        <v>894</v>
      </c>
      <c r="E138" s="123"/>
      <c r="F138" s="123"/>
      <c r="G138" s="123"/>
      <c r="H138" s="123"/>
      <c r="I138" s="123"/>
      <c r="J138" s="123"/>
      <c r="K138" s="124"/>
      <c r="L138" s="57"/>
      <c r="X138" s="57"/>
      <c r="Y138" s="57"/>
      <c r="Z138" s="57"/>
    </row>
    <row r="139" spans="1:26" ht="13.5">
      <c r="A139" s="57"/>
      <c r="B139" s="265" t="s">
        <v>897</v>
      </c>
      <c r="C139" s="353"/>
      <c r="D139" s="353"/>
      <c r="E139" s="353"/>
      <c r="F139" s="353"/>
      <c r="G139" s="353"/>
      <c r="H139" s="353"/>
      <c r="I139" s="353"/>
      <c r="J139" s="353"/>
      <c r="K139" s="485"/>
      <c r="L139" s="57"/>
      <c r="X139" s="57"/>
      <c r="Y139" s="57"/>
      <c r="Z139" s="57"/>
    </row>
    <row r="140" spans="1:26" ht="13.5">
      <c r="A140" s="57"/>
      <c r="B140" s="265" t="s">
        <v>895</v>
      </c>
      <c r="C140" s="353"/>
      <c r="D140" s="353"/>
      <c r="E140" s="353"/>
      <c r="F140" s="353"/>
      <c r="G140" s="353"/>
      <c r="H140" s="353"/>
      <c r="I140" s="353"/>
      <c r="J140" s="353"/>
      <c r="K140" s="485"/>
      <c r="L140" s="57"/>
      <c r="X140" s="57"/>
      <c r="Y140" s="57"/>
      <c r="Z140" s="57"/>
    </row>
    <row r="141" spans="1:26" ht="13.5">
      <c r="A141" s="57"/>
      <c r="B141" s="265" t="s">
        <v>898</v>
      </c>
      <c r="C141" s="353"/>
      <c r="D141" s="353"/>
      <c r="E141" s="353"/>
      <c r="F141" s="353"/>
      <c r="G141" s="353"/>
      <c r="H141" s="353"/>
      <c r="I141" s="353"/>
      <c r="J141" s="353"/>
      <c r="K141" s="485"/>
      <c r="L141" s="57"/>
      <c r="X141" s="57"/>
      <c r="Y141" s="57"/>
      <c r="Z141" s="57"/>
    </row>
    <row r="142" spans="1:26" ht="13.5">
      <c r="A142" s="57"/>
      <c r="B142" s="265" t="s">
        <v>896</v>
      </c>
      <c r="C142" s="353"/>
      <c r="D142" s="353"/>
      <c r="E142" s="353"/>
      <c r="F142" s="353"/>
      <c r="G142" s="353"/>
      <c r="H142" s="353"/>
      <c r="I142" s="353"/>
      <c r="J142" s="353"/>
      <c r="K142" s="485"/>
      <c r="L142" s="57"/>
      <c r="X142" s="57"/>
      <c r="Y142" s="57"/>
      <c r="Z142" s="57"/>
    </row>
    <row r="143" spans="1:26" ht="13.5">
      <c r="A143" s="57"/>
      <c r="B143" s="265"/>
      <c r="C143" s="353"/>
      <c r="D143" s="353"/>
      <c r="E143" s="353"/>
      <c r="F143" s="353"/>
      <c r="G143" s="353"/>
      <c r="H143" s="353"/>
      <c r="I143" s="353"/>
      <c r="J143" s="353"/>
      <c r="K143" s="485"/>
      <c r="L143" s="57"/>
      <c r="X143" s="57"/>
      <c r="Y143" s="57"/>
      <c r="Z143" s="57"/>
    </row>
    <row r="144" spans="1:26" ht="13.5">
      <c r="A144" s="57"/>
      <c r="B144" s="265" t="s">
        <v>226</v>
      </c>
      <c r="C144" s="123"/>
      <c r="D144" s="123"/>
      <c r="E144" s="123"/>
      <c r="F144" s="123"/>
      <c r="G144" s="123"/>
      <c r="H144" s="123"/>
      <c r="I144" s="123"/>
      <c r="J144" s="123"/>
      <c r="K144" s="124"/>
      <c r="L144" s="57"/>
      <c r="X144" s="57"/>
      <c r="Y144" s="57"/>
      <c r="Z144" s="57"/>
    </row>
    <row r="145" spans="1:26" ht="13.5">
      <c r="A145" s="57"/>
      <c r="B145" s="321" t="s">
        <v>225</v>
      </c>
      <c r="C145" s="123"/>
      <c r="D145" s="123" t="s">
        <v>843</v>
      </c>
      <c r="E145" s="123"/>
      <c r="F145" s="123"/>
      <c r="G145" s="123"/>
      <c r="H145" s="123"/>
      <c r="I145" s="123"/>
      <c r="J145" s="123"/>
      <c r="K145" s="124"/>
      <c r="L145" s="57"/>
      <c r="X145" s="57"/>
      <c r="Y145" s="57"/>
      <c r="Z145" s="57"/>
    </row>
    <row r="146" spans="1:26" ht="13.5">
      <c r="A146" s="57"/>
      <c r="B146" s="265" t="s">
        <v>227</v>
      </c>
      <c r="C146" s="123"/>
      <c r="D146" s="123"/>
      <c r="E146" s="123"/>
      <c r="F146" s="123"/>
      <c r="G146" s="123"/>
      <c r="H146" s="123"/>
      <c r="I146" s="123"/>
      <c r="J146" s="123"/>
      <c r="K146" s="124"/>
      <c r="L146" s="57"/>
      <c r="X146" s="57"/>
      <c r="Y146" s="57"/>
      <c r="Z146" s="57"/>
    </row>
    <row r="147" spans="1:26" ht="13.5">
      <c r="A147" s="57"/>
      <c r="B147" s="265" t="s">
        <v>229</v>
      </c>
      <c r="C147" s="123"/>
      <c r="D147" s="123"/>
      <c r="E147" s="123"/>
      <c r="F147" s="123"/>
      <c r="G147" s="123"/>
      <c r="H147" s="123"/>
      <c r="I147" s="123"/>
      <c r="J147" s="123"/>
      <c r="K147" s="124"/>
      <c r="L147" s="57"/>
      <c r="X147" s="57"/>
      <c r="Y147" s="57"/>
      <c r="Z147" s="57"/>
    </row>
    <row r="148" spans="1:26" ht="13.5">
      <c r="A148" s="57"/>
      <c r="B148" s="265" t="s">
        <v>228</v>
      </c>
      <c r="C148" s="123"/>
      <c r="D148" s="123"/>
      <c r="E148" s="123"/>
      <c r="F148" s="123"/>
      <c r="G148" s="123"/>
      <c r="H148" s="123"/>
      <c r="I148" s="123"/>
      <c r="J148" s="123"/>
      <c r="K148" s="124"/>
      <c r="L148" s="57"/>
      <c r="X148" s="57"/>
      <c r="Y148" s="57"/>
      <c r="Z148" s="57"/>
    </row>
    <row r="149" spans="1:26" ht="13.5">
      <c r="A149" s="57"/>
      <c r="B149" s="265"/>
      <c r="C149" s="123"/>
      <c r="D149" s="123"/>
      <c r="E149" s="123"/>
      <c r="F149" s="123"/>
      <c r="G149" s="123"/>
      <c r="H149" s="123"/>
      <c r="I149" s="123"/>
      <c r="J149" s="123"/>
      <c r="K149" s="124"/>
      <c r="L149" s="57"/>
      <c r="X149" s="57"/>
      <c r="Y149" s="57"/>
      <c r="Z149" s="57"/>
    </row>
    <row r="150" spans="1:26" ht="13.5">
      <c r="A150" s="57"/>
      <c r="B150" s="265" t="s">
        <v>684</v>
      </c>
      <c r="C150" s="123"/>
      <c r="D150" s="123"/>
      <c r="E150" s="123"/>
      <c r="F150" s="123"/>
      <c r="G150" s="123"/>
      <c r="H150" s="123"/>
      <c r="I150" s="123"/>
      <c r="J150" s="123"/>
      <c r="K150" s="124"/>
      <c r="L150" s="57"/>
      <c r="X150" s="57"/>
      <c r="Y150" s="57"/>
      <c r="Z150" s="57"/>
    </row>
    <row r="151" spans="1:26" ht="13.5">
      <c r="A151" s="57"/>
      <c r="B151" s="321" t="s">
        <v>688</v>
      </c>
      <c r="C151" s="123"/>
      <c r="D151" s="123" t="s">
        <v>843</v>
      </c>
      <c r="E151" s="123"/>
      <c r="F151" s="123"/>
      <c r="G151" s="123"/>
      <c r="H151" s="123"/>
      <c r="I151" s="123"/>
      <c r="J151" s="123"/>
      <c r="K151" s="124"/>
      <c r="L151" s="57"/>
      <c r="X151" s="57"/>
      <c r="Y151" s="57"/>
      <c r="Z151" s="57"/>
    </row>
    <row r="152" spans="1:26" ht="13.5">
      <c r="A152" s="57"/>
      <c r="B152" s="321" t="s">
        <v>686</v>
      </c>
      <c r="C152" s="123"/>
      <c r="D152" s="123"/>
      <c r="E152" s="123"/>
      <c r="F152" s="123"/>
      <c r="G152" s="123"/>
      <c r="H152" s="123"/>
      <c r="I152" s="123"/>
      <c r="J152" s="123"/>
      <c r="K152" s="124"/>
      <c r="L152" s="57"/>
      <c r="X152" s="57"/>
      <c r="Y152" s="57"/>
      <c r="Z152" s="57"/>
    </row>
    <row r="153" spans="1:26" ht="13.5">
      <c r="A153" s="57"/>
      <c r="B153" s="265" t="s">
        <v>685</v>
      </c>
      <c r="C153" s="123"/>
      <c r="D153" s="123"/>
      <c r="E153" s="123"/>
      <c r="F153" s="123"/>
      <c r="G153" s="123"/>
      <c r="H153" s="123"/>
      <c r="I153" s="123"/>
      <c r="J153" s="123"/>
      <c r="K153" s="124"/>
      <c r="L153" s="57"/>
      <c r="X153" s="57"/>
      <c r="Y153" s="57"/>
      <c r="Z153" s="57"/>
    </row>
    <row r="154" spans="1:26" ht="13.5">
      <c r="A154" s="57"/>
      <c r="B154" s="265" t="s">
        <v>687</v>
      </c>
      <c r="C154" s="123"/>
      <c r="D154" s="123"/>
      <c r="E154" s="123"/>
      <c r="F154" s="123"/>
      <c r="G154" s="123"/>
      <c r="H154" s="123"/>
      <c r="I154" s="123"/>
      <c r="J154" s="123"/>
      <c r="K154" s="124"/>
      <c r="L154" s="57"/>
      <c r="X154" s="57"/>
      <c r="Y154" s="57"/>
      <c r="Z154" s="57"/>
    </row>
    <row r="155" spans="1:26" ht="13.5">
      <c r="A155" s="57"/>
      <c r="B155" s="321"/>
      <c r="C155" s="123"/>
      <c r="D155" s="123"/>
      <c r="E155" s="123"/>
      <c r="F155" s="123"/>
      <c r="G155" s="123"/>
      <c r="H155" s="123"/>
      <c r="I155" s="123"/>
      <c r="J155" s="123"/>
      <c r="K155" s="124"/>
      <c r="L155" s="57"/>
      <c r="X155" s="57"/>
      <c r="Y155" s="57"/>
      <c r="Z155" s="57"/>
    </row>
    <row r="156" spans="1:26" ht="13.5">
      <c r="A156" s="57"/>
      <c r="B156" s="265" t="s">
        <v>836</v>
      </c>
      <c r="C156" s="123"/>
      <c r="D156" s="123"/>
      <c r="E156" s="123"/>
      <c r="F156" s="123"/>
      <c r="G156" s="123"/>
      <c r="H156" s="123"/>
      <c r="I156" s="123"/>
      <c r="J156" s="123"/>
      <c r="K156" s="124"/>
      <c r="L156" s="57"/>
      <c r="X156" s="57"/>
      <c r="Y156" s="57"/>
      <c r="Z156" s="57"/>
    </row>
    <row r="157" spans="1:26" ht="13.5">
      <c r="A157" s="57"/>
      <c r="B157" s="321" t="s">
        <v>837</v>
      </c>
      <c r="C157" s="123"/>
      <c r="D157" s="123" t="s">
        <v>843</v>
      </c>
      <c r="E157" s="123"/>
      <c r="F157" s="123"/>
      <c r="G157" s="123"/>
      <c r="H157" s="123"/>
      <c r="I157" s="123"/>
      <c r="J157" s="123"/>
      <c r="K157" s="124"/>
      <c r="L157" s="57"/>
      <c r="X157" s="57"/>
      <c r="Y157" s="57"/>
      <c r="Z157" s="57"/>
    </row>
    <row r="158" spans="1:26" ht="13.5">
      <c r="A158" s="57"/>
      <c r="B158" s="265" t="s">
        <v>838</v>
      </c>
      <c r="C158" s="353"/>
      <c r="D158" s="353"/>
      <c r="E158" s="353"/>
      <c r="F158" s="353"/>
      <c r="G158" s="353"/>
      <c r="H158" s="353"/>
      <c r="I158" s="353"/>
      <c r="J158" s="123"/>
      <c r="K158" s="124"/>
      <c r="L158" s="57"/>
      <c r="X158" s="57"/>
      <c r="Y158" s="57"/>
      <c r="Z158" s="57"/>
    </row>
    <row r="159" spans="1:26" ht="13.5">
      <c r="A159" s="57"/>
      <c r="B159" s="265" t="s">
        <v>839</v>
      </c>
      <c r="C159" s="353"/>
      <c r="D159" s="353"/>
      <c r="E159" s="353"/>
      <c r="F159" s="353"/>
      <c r="G159" s="353"/>
      <c r="H159" s="353"/>
      <c r="I159" s="353"/>
      <c r="J159" s="123"/>
      <c r="K159" s="124"/>
      <c r="L159" s="57"/>
      <c r="X159" s="57"/>
      <c r="Y159" s="57"/>
      <c r="Z159" s="57"/>
    </row>
    <row r="160" spans="1:26" ht="13.5">
      <c r="A160" s="57"/>
      <c r="B160" s="265" t="s">
        <v>840</v>
      </c>
      <c r="C160" s="353"/>
      <c r="D160" s="353"/>
      <c r="E160" s="353"/>
      <c r="F160" s="353"/>
      <c r="G160" s="353"/>
      <c r="H160" s="353"/>
      <c r="I160" s="353"/>
      <c r="J160" s="123"/>
      <c r="K160" s="124"/>
      <c r="L160" s="57"/>
      <c r="X160" s="57"/>
      <c r="Y160" s="57"/>
      <c r="Z160" s="57"/>
    </row>
    <row r="161" spans="1:26" ht="13.5">
      <c r="A161" s="57"/>
      <c r="B161" s="265" t="s">
        <v>841</v>
      </c>
      <c r="C161" s="353"/>
      <c r="D161" s="353"/>
      <c r="E161" s="353"/>
      <c r="F161" s="353"/>
      <c r="G161" s="353"/>
      <c r="H161" s="353"/>
      <c r="I161" s="353"/>
      <c r="J161" s="123"/>
      <c r="K161" s="124"/>
      <c r="L161" s="57"/>
      <c r="X161" s="57"/>
      <c r="Y161" s="57"/>
      <c r="Z161" s="57"/>
    </row>
    <row r="162" spans="1:26" ht="13.5">
      <c r="A162" s="57"/>
      <c r="B162" s="265" t="s">
        <v>842</v>
      </c>
      <c r="C162" s="353"/>
      <c r="D162" s="353"/>
      <c r="E162" s="353"/>
      <c r="F162" s="353"/>
      <c r="G162" s="353"/>
      <c r="H162" s="353"/>
      <c r="I162" s="353"/>
      <c r="J162" s="123"/>
      <c r="K162" s="124"/>
      <c r="L162" s="57"/>
      <c r="X162" s="57"/>
      <c r="Y162" s="57"/>
      <c r="Z162" s="57"/>
    </row>
    <row r="163" spans="1:26" ht="13.5">
      <c r="A163" s="57"/>
      <c r="B163" s="265" t="s">
        <v>845</v>
      </c>
      <c r="C163" s="353"/>
      <c r="D163" s="353"/>
      <c r="E163" s="353"/>
      <c r="F163" s="353"/>
      <c r="G163" s="353"/>
      <c r="H163" s="353"/>
      <c r="I163" s="353"/>
      <c r="J163" s="123"/>
      <c r="K163" s="124"/>
      <c r="L163" s="57"/>
      <c r="X163" s="57"/>
      <c r="Y163" s="57"/>
      <c r="Z163" s="57"/>
    </row>
    <row r="164" spans="1:26" ht="13.5">
      <c r="A164" s="57"/>
      <c r="B164" s="265"/>
      <c r="C164" s="353"/>
      <c r="D164" s="353"/>
      <c r="E164" s="353"/>
      <c r="F164" s="353"/>
      <c r="G164" s="353"/>
      <c r="H164" s="353"/>
      <c r="I164" s="353"/>
      <c r="J164" s="123"/>
      <c r="K164" s="124"/>
      <c r="L164" s="57"/>
      <c r="X164" s="57"/>
      <c r="Y164" s="57"/>
      <c r="Z164" s="57"/>
    </row>
    <row r="165" spans="1:26" ht="13.5">
      <c r="A165" s="57"/>
      <c r="B165" s="265" t="s">
        <v>1005</v>
      </c>
      <c r="C165" s="123"/>
      <c r="D165" s="123"/>
      <c r="E165" s="123"/>
      <c r="F165" s="123"/>
      <c r="G165" s="123"/>
      <c r="H165" s="123"/>
      <c r="I165" s="123"/>
      <c r="J165" s="123"/>
      <c r="K165" s="124"/>
      <c r="L165" s="57"/>
      <c r="X165" s="57"/>
      <c r="Y165" s="57"/>
      <c r="Z165" s="57"/>
    </row>
    <row r="166" spans="1:26" ht="13.5">
      <c r="A166" s="57"/>
      <c r="B166" s="321" t="s">
        <v>1278</v>
      </c>
      <c r="C166" s="123"/>
      <c r="D166" s="123" t="s">
        <v>1285</v>
      </c>
      <c r="E166" s="123"/>
      <c r="F166" s="123"/>
      <c r="G166" s="123"/>
      <c r="H166" s="123"/>
      <c r="I166" s="123"/>
      <c r="J166" s="123"/>
      <c r="K166" s="124"/>
      <c r="L166" s="57"/>
      <c r="X166" s="57"/>
      <c r="Y166" s="57"/>
      <c r="Z166" s="57"/>
    </row>
    <row r="167" spans="1:26" ht="13.5">
      <c r="A167" s="57"/>
      <c r="B167" s="265" t="s">
        <v>1279</v>
      </c>
      <c r="C167" s="353"/>
      <c r="D167" s="353"/>
      <c r="E167" s="353"/>
      <c r="F167" s="353"/>
      <c r="G167" s="353"/>
      <c r="H167" s="353"/>
      <c r="I167" s="353"/>
      <c r="J167" s="353"/>
      <c r="K167" s="485"/>
      <c r="L167" s="57"/>
      <c r="X167" s="57"/>
      <c r="Y167" s="57"/>
      <c r="Z167" s="57"/>
    </row>
    <row r="168" spans="1:26" ht="13.5">
      <c r="A168" s="57"/>
      <c r="B168" s="265" t="s">
        <v>1282</v>
      </c>
      <c r="C168" s="353"/>
      <c r="D168" s="353"/>
      <c r="E168" s="353"/>
      <c r="F168" s="353"/>
      <c r="G168" s="353"/>
      <c r="H168" s="353"/>
      <c r="I168" s="353"/>
      <c r="J168" s="353"/>
      <c r="K168" s="485"/>
      <c r="L168" s="57"/>
      <c r="X168" s="57"/>
      <c r="Y168" s="57"/>
      <c r="Z168" s="57"/>
    </row>
    <row r="169" spans="1:26" ht="13.5">
      <c r="A169" s="57"/>
      <c r="B169" s="265" t="s">
        <v>1283</v>
      </c>
      <c r="C169" s="353"/>
      <c r="D169" s="353"/>
      <c r="E169" s="353"/>
      <c r="F169" s="353"/>
      <c r="G169" s="353"/>
      <c r="H169" s="353"/>
      <c r="I169" s="353"/>
      <c r="J169" s="353"/>
      <c r="K169" s="485"/>
      <c r="L169" s="57"/>
      <c r="X169" s="57"/>
      <c r="Y169" s="57"/>
      <c r="Z169" s="57"/>
    </row>
    <row r="170" spans="1:26" ht="13.5">
      <c r="A170" s="57"/>
      <c r="B170" s="265" t="s">
        <v>1284</v>
      </c>
      <c r="C170" s="353"/>
      <c r="D170" s="353"/>
      <c r="E170" s="353"/>
      <c r="F170" s="353"/>
      <c r="G170" s="353"/>
      <c r="H170" s="353"/>
      <c r="I170" s="353"/>
      <c r="J170" s="353"/>
      <c r="K170" s="485"/>
      <c r="L170" s="57"/>
      <c r="X170" s="57"/>
      <c r="Y170" s="57"/>
      <c r="Z170" s="57"/>
    </row>
    <row r="171" spans="1:26" ht="13.5">
      <c r="A171" s="57"/>
      <c r="B171" s="265"/>
      <c r="C171" s="353"/>
      <c r="D171" s="353"/>
      <c r="E171" s="353"/>
      <c r="F171" s="353"/>
      <c r="G171" s="353"/>
      <c r="H171" s="353"/>
      <c r="I171" s="353"/>
      <c r="J171" s="353"/>
      <c r="K171" s="485"/>
      <c r="L171" s="57"/>
      <c r="X171" s="57"/>
      <c r="Y171" s="57"/>
      <c r="Z171" s="57"/>
    </row>
    <row r="172" spans="1:26" ht="13.5">
      <c r="A172" s="57"/>
      <c r="B172" s="265" t="s">
        <v>794</v>
      </c>
      <c r="C172" s="123"/>
      <c r="D172" s="123"/>
      <c r="E172" s="123"/>
      <c r="F172" s="123"/>
      <c r="G172" s="123"/>
      <c r="H172" s="123"/>
      <c r="I172" s="123"/>
      <c r="J172" s="123"/>
      <c r="K172" s="124"/>
      <c r="L172" s="57"/>
      <c r="X172" s="57"/>
      <c r="Y172" s="57"/>
      <c r="Z172" s="57"/>
    </row>
    <row r="173" spans="1:26" ht="13.5">
      <c r="A173" s="57"/>
      <c r="B173" s="129" t="s">
        <v>795</v>
      </c>
      <c r="C173" s="123"/>
      <c r="D173" s="123" t="s">
        <v>796</v>
      </c>
      <c r="E173" s="123"/>
      <c r="F173" s="123"/>
      <c r="G173" s="123"/>
      <c r="H173" s="123"/>
      <c r="I173" s="123"/>
      <c r="J173" s="123"/>
      <c r="K173" s="124"/>
      <c r="L173" s="57"/>
      <c r="X173" s="57"/>
      <c r="Y173" s="57"/>
      <c r="Z173" s="57"/>
    </row>
    <row r="174" spans="1:26" ht="13.5">
      <c r="A174" s="57"/>
      <c r="B174" s="265" t="s">
        <v>797</v>
      </c>
      <c r="C174" s="320"/>
      <c r="D174" s="320"/>
      <c r="E174" s="320"/>
      <c r="F174" s="320"/>
      <c r="G174" s="320"/>
      <c r="H174" s="123"/>
      <c r="I174" s="123"/>
      <c r="J174" s="123"/>
      <c r="K174" s="124"/>
      <c r="L174" s="57"/>
      <c r="X174" s="57"/>
      <c r="Y174" s="57"/>
      <c r="Z174" s="57"/>
    </row>
    <row r="175" spans="1:26" ht="13.5">
      <c r="A175" s="57"/>
      <c r="B175" s="265" t="s">
        <v>799</v>
      </c>
      <c r="C175" s="320"/>
      <c r="D175" s="320"/>
      <c r="E175" s="320"/>
      <c r="F175" s="320"/>
      <c r="G175" s="320"/>
      <c r="H175" s="123"/>
      <c r="I175" s="123"/>
      <c r="J175" s="123"/>
      <c r="K175" s="124"/>
      <c r="L175" s="57"/>
      <c r="X175" s="57"/>
      <c r="Y175" s="57"/>
      <c r="Z175" s="57"/>
    </row>
    <row r="176" spans="1:26" ht="13.5">
      <c r="A176" s="57"/>
      <c r="B176" s="265" t="s">
        <v>798</v>
      </c>
      <c r="C176" s="320"/>
      <c r="D176" s="320"/>
      <c r="E176" s="320"/>
      <c r="F176" s="320"/>
      <c r="G176" s="320"/>
      <c r="H176" s="123"/>
      <c r="I176" s="123"/>
      <c r="J176" s="123"/>
      <c r="K176" s="124"/>
      <c r="L176" s="57"/>
      <c r="X176" s="57"/>
      <c r="Y176" s="57"/>
      <c r="Z176" s="57"/>
    </row>
    <row r="177" spans="1:26" ht="13.5">
      <c r="A177" s="57"/>
      <c r="B177" s="265"/>
      <c r="C177" s="320"/>
      <c r="D177" s="320"/>
      <c r="E177" s="320"/>
      <c r="F177" s="320"/>
      <c r="G177" s="320"/>
      <c r="H177" s="123"/>
      <c r="I177" s="123"/>
      <c r="J177" s="123"/>
      <c r="K177" s="124"/>
      <c r="L177" s="57"/>
      <c r="X177" s="57"/>
      <c r="Y177" s="57"/>
      <c r="Z177" s="57"/>
    </row>
    <row r="178" spans="1:26" ht="13.5">
      <c r="A178" s="57"/>
      <c r="B178" s="265" t="s">
        <v>124</v>
      </c>
      <c r="C178" s="123"/>
      <c r="D178" s="123"/>
      <c r="E178" s="123"/>
      <c r="F178" s="123"/>
      <c r="G178" s="123"/>
      <c r="H178" s="123"/>
      <c r="I178" s="123"/>
      <c r="J178" s="123"/>
      <c r="K178" s="124"/>
      <c r="L178" s="57"/>
      <c r="X178" s="57"/>
      <c r="Y178" s="57"/>
      <c r="Z178" s="57"/>
    </row>
    <row r="179" spans="1:26" ht="13.5">
      <c r="A179" s="57"/>
      <c r="B179" s="129" t="s">
        <v>219</v>
      </c>
      <c r="C179" s="123"/>
      <c r="D179" s="123" t="s">
        <v>125</v>
      </c>
      <c r="E179" s="123"/>
      <c r="F179" s="123"/>
      <c r="G179" s="123"/>
      <c r="H179" s="123"/>
      <c r="I179" s="123"/>
      <c r="J179" s="123"/>
      <c r="K179" s="124"/>
      <c r="L179" s="57"/>
      <c r="X179" s="57"/>
      <c r="Y179" s="57"/>
      <c r="Z179" s="57"/>
    </row>
    <row r="180" spans="1:26" ht="13.5">
      <c r="A180" s="57"/>
      <c r="B180" s="265" t="s">
        <v>220</v>
      </c>
      <c r="C180" s="320"/>
      <c r="D180" s="123"/>
      <c r="E180" s="123"/>
      <c r="F180" s="123"/>
      <c r="G180" s="123"/>
      <c r="H180" s="123"/>
      <c r="I180" s="123"/>
      <c r="J180" s="123"/>
      <c r="K180" s="124"/>
      <c r="L180" s="57"/>
      <c r="X180" s="57"/>
      <c r="Y180" s="57"/>
      <c r="Z180" s="57"/>
    </row>
    <row r="181" spans="1:26" ht="13.5">
      <c r="A181" s="57"/>
      <c r="B181" s="265" t="s">
        <v>221</v>
      </c>
      <c r="C181" s="320"/>
      <c r="D181" s="123"/>
      <c r="E181" s="123"/>
      <c r="F181" s="123"/>
      <c r="G181" s="123"/>
      <c r="H181" s="123"/>
      <c r="I181" s="123"/>
      <c r="J181" s="123"/>
      <c r="K181" s="124"/>
      <c r="L181" s="57"/>
      <c r="X181" s="57"/>
      <c r="Y181" s="57"/>
      <c r="Z181" s="57"/>
    </row>
    <row r="182" spans="1:26" ht="13.5">
      <c r="A182" s="57"/>
      <c r="B182" s="129"/>
      <c r="C182" s="123"/>
      <c r="D182" s="123"/>
      <c r="E182" s="123"/>
      <c r="F182" s="123"/>
      <c r="G182" s="123"/>
      <c r="H182" s="123"/>
      <c r="I182" s="123"/>
      <c r="J182" s="123"/>
      <c r="K182" s="124"/>
      <c r="L182" s="57"/>
      <c r="X182" s="57"/>
      <c r="Y182" s="57"/>
      <c r="Z182" s="57"/>
    </row>
    <row r="183" spans="1:26" ht="13.5">
      <c r="A183" s="57"/>
      <c r="B183" s="265" t="s">
        <v>21</v>
      </c>
      <c r="C183" s="123"/>
      <c r="D183" s="123"/>
      <c r="E183" s="123"/>
      <c r="F183" s="123"/>
      <c r="G183" s="123"/>
      <c r="H183" s="123"/>
      <c r="I183" s="123"/>
      <c r="J183" s="123"/>
      <c r="K183" s="124"/>
      <c r="L183" s="57"/>
      <c r="X183" s="57"/>
      <c r="Y183" s="57"/>
      <c r="Z183" s="57"/>
    </row>
    <row r="184" spans="1:26" ht="13.5">
      <c r="A184" s="57"/>
      <c r="B184" s="129" t="s">
        <v>521</v>
      </c>
      <c r="C184" s="123"/>
      <c r="D184" s="123" t="s">
        <v>522</v>
      </c>
      <c r="E184" s="123"/>
      <c r="F184" s="123"/>
      <c r="G184" s="123"/>
      <c r="H184" s="123"/>
      <c r="I184" s="123"/>
      <c r="J184" s="123"/>
      <c r="K184" s="124"/>
      <c r="L184" s="57"/>
      <c r="X184" s="57"/>
      <c r="Y184" s="57"/>
      <c r="Z184" s="57"/>
    </row>
    <row r="185" spans="1:26" ht="13.5">
      <c r="A185" s="57"/>
      <c r="B185" s="265" t="s">
        <v>523</v>
      </c>
      <c r="C185" s="320"/>
      <c r="D185" s="123"/>
      <c r="E185" s="123"/>
      <c r="F185" s="123"/>
      <c r="G185" s="123"/>
      <c r="H185" s="123"/>
      <c r="I185" s="123"/>
      <c r="J185" s="123"/>
      <c r="K185" s="124"/>
      <c r="L185" s="57"/>
      <c r="X185" s="57"/>
      <c r="Y185" s="57"/>
      <c r="Z185" s="57"/>
    </row>
    <row r="186" spans="1:26" ht="13.5">
      <c r="A186" s="57"/>
      <c r="B186" s="265" t="s">
        <v>524</v>
      </c>
      <c r="C186" s="320"/>
      <c r="D186" s="123"/>
      <c r="E186" s="123"/>
      <c r="F186" s="123"/>
      <c r="G186" s="123"/>
      <c r="H186" s="123"/>
      <c r="I186" s="123"/>
      <c r="J186" s="123"/>
      <c r="K186" s="124"/>
      <c r="L186" s="57"/>
      <c r="X186" s="57"/>
      <c r="Y186" s="57"/>
      <c r="Z186" s="57"/>
    </row>
    <row r="187" spans="1:26" ht="13.5">
      <c r="A187" s="57"/>
      <c r="B187" s="265" t="s">
        <v>525</v>
      </c>
      <c r="C187" s="320"/>
      <c r="D187" s="123"/>
      <c r="E187" s="123"/>
      <c r="F187" s="123"/>
      <c r="G187" s="123"/>
      <c r="H187" s="123"/>
      <c r="I187" s="123"/>
      <c r="J187" s="123"/>
      <c r="K187" s="124"/>
      <c r="L187" s="57"/>
      <c r="X187" s="57"/>
      <c r="Y187" s="57"/>
      <c r="Z187" s="57"/>
    </row>
    <row r="188" spans="1:26" ht="13.5">
      <c r="A188" s="57"/>
      <c r="B188" s="265" t="s">
        <v>526</v>
      </c>
      <c r="C188" s="320"/>
      <c r="D188" s="123"/>
      <c r="E188" s="123"/>
      <c r="F188" s="123"/>
      <c r="G188" s="123"/>
      <c r="H188" s="123"/>
      <c r="I188" s="123"/>
      <c r="J188" s="123"/>
      <c r="K188" s="124"/>
      <c r="L188" s="57"/>
      <c r="X188" s="57"/>
      <c r="Y188" s="57"/>
      <c r="Z188" s="57"/>
    </row>
    <row r="189" spans="1:26" ht="13.5">
      <c r="A189" s="57"/>
      <c r="B189" s="265"/>
      <c r="C189" s="320"/>
      <c r="D189" s="123"/>
      <c r="E189" s="123"/>
      <c r="F189" s="123"/>
      <c r="G189" s="123"/>
      <c r="H189" s="123"/>
      <c r="I189" s="123"/>
      <c r="J189" s="123"/>
      <c r="K189" s="124"/>
      <c r="L189" s="57"/>
      <c r="X189" s="57"/>
      <c r="Y189" s="57"/>
      <c r="Z189" s="57"/>
    </row>
    <row r="190" spans="1:26" ht="13.5">
      <c r="A190" s="57"/>
      <c r="B190" s="265" t="s">
        <v>21</v>
      </c>
      <c r="C190" s="320"/>
      <c r="D190" s="320"/>
      <c r="E190" s="320"/>
      <c r="F190" s="320"/>
      <c r="G190" s="320"/>
      <c r="H190" s="320"/>
      <c r="I190" s="320"/>
      <c r="J190" s="320"/>
      <c r="K190" s="461"/>
      <c r="L190" s="57"/>
      <c r="X190" s="57"/>
      <c r="Y190" s="57"/>
      <c r="Z190" s="57"/>
    </row>
    <row r="191" spans="1:26" ht="13.5">
      <c r="A191" s="57"/>
      <c r="B191" s="129" t="s">
        <v>22</v>
      </c>
      <c r="C191" s="320"/>
      <c r="D191" s="320"/>
      <c r="E191" s="320"/>
      <c r="F191" s="320"/>
      <c r="G191" s="320"/>
      <c r="H191" s="320"/>
      <c r="I191" s="320"/>
      <c r="J191" s="320"/>
      <c r="K191" s="461"/>
      <c r="L191" s="57"/>
      <c r="X191" s="57"/>
      <c r="Y191" s="57"/>
      <c r="Z191" s="57"/>
    </row>
    <row r="192" spans="1:26" ht="13.5">
      <c r="A192" s="57"/>
      <c r="B192" s="265" t="s">
        <v>23</v>
      </c>
      <c r="C192" s="320"/>
      <c r="D192" s="320"/>
      <c r="E192" s="320"/>
      <c r="F192" s="320"/>
      <c r="G192" s="320"/>
      <c r="H192" s="320"/>
      <c r="I192" s="320"/>
      <c r="J192" s="320"/>
      <c r="K192" s="461"/>
      <c r="L192" s="57"/>
      <c r="X192" s="57"/>
      <c r="Y192" s="57"/>
      <c r="Z192" s="57"/>
    </row>
    <row r="193" spans="1:26" ht="13.5">
      <c r="A193" s="57"/>
      <c r="B193" s="265" t="s">
        <v>24</v>
      </c>
      <c r="C193" s="320"/>
      <c r="D193" s="320"/>
      <c r="E193" s="320"/>
      <c r="F193" s="320"/>
      <c r="G193" s="320"/>
      <c r="H193" s="320"/>
      <c r="I193" s="320"/>
      <c r="J193" s="320"/>
      <c r="K193" s="461"/>
      <c r="L193" s="57"/>
      <c r="X193" s="57"/>
      <c r="Y193" s="57"/>
      <c r="Z193" s="57"/>
    </row>
    <row r="194" spans="1:26" ht="13.5">
      <c r="A194" s="57"/>
      <c r="B194" s="265" t="s">
        <v>26</v>
      </c>
      <c r="C194" s="320"/>
      <c r="D194" s="320"/>
      <c r="E194" s="320"/>
      <c r="F194" s="320"/>
      <c r="G194" s="320"/>
      <c r="H194" s="320"/>
      <c r="I194" s="320"/>
      <c r="J194" s="320"/>
      <c r="K194" s="461"/>
      <c r="L194" s="57"/>
      <c r="X194" s="57"/>
      <c r="Y194" s="57"/>
      <c r="Z194" s="57"/>
    </row>
    <row r="195" spans="1:26" ht="13.5">
      <c r="A195" s="57"/>
      <c r="B195" s="265" t="s">
        <v>27</v>
      </c>
      <c r="C195" s="320"/>
      <c r="D195" s="320"/>
      <c r="E195" s="320"/>
      <c r="F195" s="320"/>
      <c r="G195" s="320"/>
      <c r="H195" s="320"/>
      <c r="I195" s="320"/>
      <c r="J195" s="320"/>
      <c r="K195" s="461"/>
      <c r="L195" s="57"/>
      <c r="X195" s="57"/>
      <c r="Y195" s="57"/>
      <c r="Z195" s="57"/>
    </row>
    <row r="196" spans="1:26" ht="13.5">
      <c r="A196" s="57"/>
      <c r="B196" s="265"/>
      <c r="C196" s="320"/>
      <c r="D196" s="320"/>
      <c r="E196" s="320"/>
      <c r="F196" s="320"/>
      <c r="G196" s="320"/>
      <c r="H196" s="320"/>
      <c r="I196" s="320"/>
      <c r="J196" s="320"/>
      <c r="K196" s="461"/>
      <c r="L196" s="57"/>
      <c r="X196" s="57"/>
      <c r="Y196" s="57"/>
      <c r="Z196" s="57"/>
    </row>
    <row r="197" spans="1:26" ht="13.5">
      <c r="A197" s="57"/>
      <c r="B197" s="265" t="s">
        <v>209</v>
      </c>
      <c r="C197" s="123"/>
      <c r="D197" s="123"/>
      <c r="E197" s="123"/>
      <c r="F197" s="123"/>
      <c r="G197" s="123"/>
      <c r="H197" s="123"/>
      <c r="I197" s="123"/>
      <c r="J197" s="123"/>
      <c r="K197" s="124"/>
      <c r="L197" s="57"/>
      <c r="X197" s="57"/>
      <c r="Y197" s="57"/>
      <c r="Z197" s="57"/>
    </row>
    <row r="198" spans="1:26" ht="13.5">
      <c r="A198" s="57"/>
      <c r="B198" s="129" t="s">
        <v>210</v>
      </c>
      <c r="C198" s="123"/>
      <c r="D198" s="123" t="s">
        <v>198</v>
      </c>
      <c r="E198" s="123"/>
      <c r="F198" s="123"/>
      <c r="G198" s="123"/>
      <c r="H198" s="123"/>
      <c r="I198" s="123"/>
      <c r="J198" s="123"/>
      <c r="K198" s="124"/>
      <c r="L198" s="57"/>
      <c r="X198" s="57"/>
      <c r="Y198" s="57"/>
      <c r="Z198" s="57"/>
    </row>
    <row r="199" spans="1:26" ht="13.5">
      <c r="A199" s="57"/>
      <c r="B199" s="265" t="s">
        <v>217</v>
      </c>
      <c r="C199" s="123"/>
      <c r="D199" s="123"/>
      <c r="E199" s="123"/>
      <c r="F199" s="123"/>
      <c r="G199" s="123"/>
      <c r="H199" s="123"/>
      <c r="I199" s="123"/>
      <c r="J199" s="123"/>
      <c r="K199" s="124"/>
      <c r="L199" s="57"/>
      <c r="X199" s="57"/>
      <c r="Y199" s="57"/>
      <c r="Z199" s="57"/>
    </row>
    <row r="200" spans="1:26" ht="13.5">
      <c r="A200" s="57"/>
      <c r="B200" s="265" t="s">
        <v>222</v>
      </c>
      <c r="C200" s="320"/>
      <c r="D200" s="320"/>
      <c r="E200" s="320"/>
      <c r="F200" s="320"/>
      <c r="G200" s="320"/>
      <c r="H200" s="320"/>
      <c r="I200" s="320"/>
      <c r="J200" s="320"/>
      <c r="K200" s="124"/>
      <c r="L200" s="57"/>
      <c r="X200" s="57"/>
      <c r="Y200" s="57"/>
      <c r="Z200" s="57"/>
    </row>
    <row r="201" spans="1:26" ht="13.5">
      <c r="A201" s="57"/>
      <c r="B201" s="265" t="s">
        <v>223</v>
      </c>
      <c r="C201" s="320"/>
      <c r="D201" s="320"/>
      <c r="E201" s="320"/>
      <c r="F201" s="320"/>
      <c r="G201" s="320"/>
      <c r="H201" s="320"/>
      <c r="I201" s="320"/>
      <c r="J201" s="320"/>
      <c r="K201" s="124"/>
      <c r="L201" s="57"/>
      <c r="X201" s="57"/>
      <c r="Y201" s="57"/>
      <c r="Z201" s="57"/>
    </row>
    <row r="202" spans="1:26" ht="13.5">
      <c r="A202" s="57"/>
      <c r="B202" s="265" t="s">
        <v>197</v>
      </c>
      <c r="C202" s="320"/>
      <c r="D202" s="320"/>
      <c r="E202" s="320"/>
      <c r="F202" s="320"/>
      <c r="G202" s="320"/>
      <c r="H202" s="320"/>
      <c r="I202" s="320"/>
      <c r="J202" s="320"/>
      <c r="K202" s="124"/>
      <c r="L202" s="57"/>
      <c r="X202" s="57"/>
      <c r="Y202" s="57"/>
      <c r="Z202" s="57"/>
    </row>
    <row r="203" spans="1:26" ht="13.5">
      <c r="A203" s="57"/>
      <c r="B203" s="265"/>
      <c r="C203" s="320"/>
      <c r="D203" s="320"/>
      <c r="E203" s="320"/>
      <c r="F203" s="320"/>
      <c r="G203" s="320"/>
      <c r="H203" s="320"/>
      <c r="I203" s="320"/>
      <c r="J203" s="320"/>
      <c r="K203" s="124"/>
      <c r="L203" s="57"/>
      <c r="X203" s="57"/>
      <c r="Y203" s="57"/>
      <c r="Z203" s="57"/>
    </row>
    <row r="204" spans="1:26" ht="13.5">
      <c r="A204" s="57"/>
      <c r="B204" s="265" t="s">
        <v>235</v>
      </c>
      <c r="C204" s="123"/>
      <c r="D204" s="123"/>
      <c r="E204" s="123"/>
      <c r="F204" s="123"/>
      <c r="G204" s="123"/>
      <c r="H204" s="123"/>
      <c r="I204" s="123"/>
      <c r="J204" s="123"/>
      <c r="K204" s="124"/>
      <c r="L204" s="57"/>
      <c r="X204" s="57"/>
      <c r="Y204" s="57"/>
      <c r="Z204" s="57"/>
    </row>
    <row r="205" spans="1:26" ht="13.5">
      <c r="A205" s="57"/>
      <c r="B205" s="129" t="s">
        <v>157</v>
      </c>
      <c r="C205" s="123"/>
      <c r="D205" s="123" t="s">
        <v>199</v>
      </c>
      <c r="E205" s="123"/>
      <c r="F205" s="123"/>
      <c r="G205" s="123"/>
      <c r="H205" s="123"/>
      <c r="I205" s="123"/>
      <c r="J205" s="123"/>
      <c r="K205" s="124"/>
      <c r="L205" s="57"/>
      <c r="X205" s="57"/>
      <c r="Y205" s="57"/>
      <c r="Z205" s="57"/>
    </row>
    <row r="206" spans="1:26" ht="13.5">
      <c r="A206" s="57"/>
      <c r="B206" s="130" t="s">
        <v>158</v>
      </c>
      <c r="C206" s="353"/>
      <c r="D206" s="353"/>
      <c r="E206" s="353"/>
      <c r="F206" s="353"/>
      <c r="G206" s="353"/>
      <c r="H206" s="123"/>
      <c r="I206" s="123"/>
      <c r="J206" s="123"/>
      <c r="K206" s="124"/>
      <c r="L206" s="57"/>
      <c r="X206" s="57"/>
      <c r="Y206" s="57"/>
      <c r="Z206" s="57"/>
    </row>
    <row r="207" spans="1:26" ht="13.5">
      <c r="A207" s="57"/>
      <c r="B207" s="130" t="s">
        <v>162</v>
      </c>
      <c r="C207" s="353"/>
      <c r="D207" s="353"/>
      <c r="E207" s="353"/>
      <c r="F207" s="353"/>
      <c r="G207" s="353"/>
      <c r="H207" s="123"/>
      <c r="I207" s="123"/>
      <c r="J207" s="123"/>
      <c r="K207" s="124"/>
      <c r="L207" s="57"/>
      <c r="X207" s="57"/>
      <c r="Y207" s="57"/>
      <c r="Z207" s="57"/>
    </row>
    <row r="208" spans="1:26" ht="13.5">
      <c r="A208" s="57"/>
      <c r="B208" s="130" t="s">
        <v>233</v>
      </c>
      <c r="C208" s="353"/>
      <c r="D208" s="353"/>
      <c r="E208" s="353"/>
      <c r="F208" s="353"/>
      <c r="G208" s="353"/>
      <c r="H208" s="123"/>
      <c r="I208" s="123"/>
      <c r="J208" s="123"/>
      <c r="K208" s="124"/>
      <c r="L208" s="57"/>
      <c r="X208" s="57"/>
      <c r="Y208" s="57"/>
      <c r="Z208" s="57"/>
    </row>
    <row r="209" spans="1:26" ht="13.5">
      <c r="A209" s="57"/>
      <c r="B209" s="130" t="s">
        <v>234</v>
      </c>
      <c r="C209" s="353"/>
      <c r="D209" s="353"/>
      <c r="E209" s="353"/>
      <c r="F209" s="353"/>
      <c r="G209" s="353"/>
      <c r="H209" s="123"/>
      <c r="I209" s="123"/>
      <c r="J209" s="123"/>
      <c r="K209" s="124"/>
      <c r="L209" s="57"/>
      <c r="X209" s="57"/>
      <c r="Y209" s="57"/>
      <c r="Z209" s="57"/>
    </row>
    <row r="210" spans="1:26" ht="13.5">
      <c r="A210" s="57"/>
      <c r="B210" s="130" t="s">
        <v>231</v>
      </c>
      <c r="C210" s="353"/>
      <c r="D210" s="353"/>
      <c r="E210" s="353"/>
      <c r="F210" s="353"/>
      <c r="G210" s="353"/>
      <c r="H210" s="123"/>
      <c r="I210" s="123"/>
      <c r="J210" s="123"/>
      <c r="K210" s="124"/>
      <c r="L210" s="57"/>
      <c r="X210" s="57"/>
      <c r="Y210" s="57"/>
      <c r="Z210" s="57"/>
    </row>
    <row r="211" spans="1:26" ht="13.5">
      <c r="A211" s="57"/>
      <c r="B211" s="130"/>
      <c r="C211" s="353"/>
      <c r="D211" s="353"/>
      <c r="E211" s="353"/>
      <c r="F211" s="353"/>
      <c r="G211" s="353"/>
      <c r="H211" s="123"/>
      <c r="I211" s="123"/>
      <c r="J211" s="123"/>
      <c r="K211" s="124"/>
      <c r="L211" s="57"/>
      <c r="X211" s="57"/>
      <c r="Y211" s="57"/>
      <c r="Z211" s="57"/>
    </row>
    <row r="212" spans="1:26" ht="13.5">
      <c r="A212" s="57"/>
      <c r="B212" s="265" t="s">
        <v>151</v>
      </c>
      <c r="C212" s="123"/>
      <c r="D212" s="123"/>
      <c r="E212" s="123"/>
      <c r="F212" s="123"/>
      <c r="G212" s="123"/>
      <c r="H212" s="123"/>
      <c r="I212" s="123"/>
      <c r="J212" s="123"/>
      <c r="K212" s="124"/>
      <c r="L212" s="57"/>
      <c r="X212" s="57"/>
      <c r="Y212" s="57"/>
      <c r="Z212" s="57"/>
    </row>
    <row r="213" spans="1:26" ht="13.5">
      <c r="A213" s="57"/>
      <c r="B213" s="129" t="s">
        <v>152</v>
      </c>
      <c r="C213" s="123"/>
      <c r="D213" s="123" t="s">
        <v>55</v>
      </c>
      <c r="E213" s="123"/>
      <c r="F213" s="123"/>
      <c r="G213" s="123"/>
      <c r="H213" s="123"/>
      <c r="I213" s="123"/>
      <c r="J213" s="123"/>
      <c r="K213" s="124"/>
      <c r="L213" s="57"/>
      <c r="X213" s="57"/>
      <c r="Y213" s="57"/>
      <c r="Z213" s="57"/>
    </row>
    <row r="214" spans="1:26" ht="13.5">
      <c r="A214" s="57"/>
      <c r="B214" s="130" t="s">
        <v>153</v>
      </c>
      <c r="C214" s="123"/>
      <c r="D214" s="123"/>
      <c r="E214" s="123"/>
      <c r="F214" s="123"/>
      <c r="G214" s="123"/>
      <c r="H214" s="123"/>
      <c r="I214" s="123"/>
      <c r="J214" s="123"/>
      <c r="K214" s="124"/>
      <c r="L214" s="57"/>
      <c r="X214" s="57"/>
      <c r="Y214" s="57"/>
      <c r="Z214" s="57"/>
    </row>
    <row r="215" spans="1:26" ht="13.5">
      <c r="A215" s="57"/>
      <c r="B215" s="130" t="s">
        <v>154</v>
      </c>
      <c r="C215" s="123"/>
      <c r="D215" s="123"/>
      <c r="E215" s="123"/>
      <c r="F215" s="123"/>
      <c r="G215" s="123"/>
      <c r="H215" s="123"/>
      <c r="I215" s="123"/>
      <c r="J215" s="123"/>
      <c r="K215" s="124"/>
      <c r="L215" s="57"/>
      <c r="X215" s="57"/>
      <c r="Y215" s="57"/>
      <c r="Z215" s="57"/>
    </row>
    <row r="216" spans="1:26" ht="13.5">
      <c r="A216" s="57"/>
      <c r="B216" s="130" t="s">
        <v>155</v>
      </c>
      <c r="C216" s="123"/>
      <c r="D216" s="123"/>
      <c r="E216" s="123"/>
      <c r="F216" s="123"/>
      <c r="G216" s="123"/>
      <c r="H216" s="123"/>
      <c r="I216" s="123"/>
      <c r="J216" s="123"/>
      <c r="K216" s="124"/>
      <c r="L216" s="57"/>
      <c r="X216" s="57"/>
      <c r="Y216" s="57"/>
      <c r="Z216" s="57"/>
    </row>
    <row r="217" spans="1:26" ht="13.5">
      <c r="A217" s="57"/>
      <c r="B217" s="130" t="s">
        <v>156</v>
      </c>
      <c r="C217" s="123"/>
      <c r="D217" s="123"/>
      <c r="E217" s="123"/>
      <c r="F217" s="123"/>
      <c r="G217" s="123"/>
      <c r="H217" s="123"/>
      <c r="I217" s="123"/>
      <c r="J217" s="123"/>
      <c r="K217" s="124"/>
      <c r="L217" s="57"/>
      <c r="X217" s="57"/>
      <c r="Y217" s="57"/>
      <c r="Z217" s="57"/>
    </row>
    <row r="218" spans="1:26" ht="13.5">
      <c r="A218" s="57"/>
      <c r="B218" s="129"/>
      <c r="C218" s="123"/>
      <c r="D218" s="123"/>
      <c r="E218" s="123"/>
      <c r="F218" s="123"/>
      <c r="G218" s="123"/>
      <c r="H218" s="123"/>
      <c r="I218" s="123"/>
      <c r="J218" s="123"/>
      <c r="K218" s="124"/>
      <c r="L218" s="57"/>
      <c r="X218" s="57"/>
      <c r="Y218" s="57"/>
      <c r="Z218" s="57"/>
    </row>
    <row r="219" spans="1:26" ht="13.5">
      <c r="A219" s="57"/>
      <c r="B219" s="265" t="s">
        <v>150</v>
      </c>
      <c r="C219" s="123"/>
      <c r="D219" s="123"/>
      <c r="E219" s="123"/>
      <c r="F219" s="123"/>
      <c r="G219" s="123"/>
      <c r="H219" s="123"/>
      <c r="I219" s="123"/>
      <c r="J219" s="123"/>
      <c r="K219" s="124"/>
      <c r="L219" s="57"/>
      <c r="X219" s="57"/>
      <c r="Y219" s="57"/>
      <c r="Z219" s="57"/>
    </row>
    <row r="220" spans="1:26" ht="13.5">
      <c r="A220" s="57"/>
      <c r="B220" s="129" t="s">
        <v>54</v>
      </c>
      <c r="C220" s="123"/>
      <c r="D220" s="123" t="s">
        <v>55</v>
      </c>
      <c r="E220" s="123"/>
      <c r="F220" s="123"/>
      <c r="G220" s="123"/>
      <c r="H220" s="123"/>
      <c r="I220" s="123"/>
      <c r="J220" s="123"/>
      <c r="K220" s="124"/>
      <c r="L220" s="57"/>
      <c r="X220" s="57"/>
      <c r="Y220" s="57"/>
      <c r="Z220" s="57"/>
    </row>
    <row r="221" spans="1:26" ht="13.5">
      <c r="A221" s="57"/>
      <c r="B221" s="130" t="s">
        <v>56</v>
      </c>
      <c r="C221" s="123"/>
      <c r="D221" s="123"/>
      <c r="E221" s="123"/>
      <c r="F221" s="123"/>
      <c r="G221" s="123"/>
      <c r="H221" s="123"/>
      <c r="I221" s="123"/>
      <c r="J221" s="123"/>
      <c r="K221" s="124"/>
      <c r="L221" s="57"/>
      <c r="X221" s="57"/>
      <c r="Y221" s="57"/>
      <c r="Z221" s="57"/>
    </row>
    <row r="222" spans="1:26" ht="13.5">
      <c r="A222" s="57"/>
      <c r="B222" s="129"/>
      <c r="C222" s="123"/>
      <c r="D222" s="123"/>
      <c r="E222" s="123"/>
      <c r="F222" s="123"/>
      <c r="G222" s="123"/>
      <c r="H222" s="123"/>
      <c r="I222" s="123"/>
      <c r="J222" s="123"/>
      <c r="K222" s="124"/>
      <c r="L222" s="57"/>
      <c r="X222" s="57"/>
      <c r="Y222" s="57"/>
      <c r="Z222" s="57"/>
    </row>
    <row r="223" spans="1:26" ht="13.5">
      <c r="A223" s="57"/>
      <c r="B223" s="265" t="s">
        <v>149</v>
      </c>
      <c r="C223" s="123"/>
      <c r="D223" s="21"/>
      <c r="E223" s="123"/>
      <c r="F223" s="123"/>
      <c r="G223" s="123"/>
      <c r="H223" s="123"/>
      <c r="I223" s="123"/>
      <c r="J223" s="123"/>
      <c r="K223" s="124"/>
      <c r="L223" s="57"/>
      <c r="X223" s="57"/>
      <c r="Y223" s="57"/>
      <c r="Z223" s="57"/>
    </row>
    <row r="224" spans="1:26" ht="13.5">
      <c r="A224" s="57"/>
      <c r="B224" s="129" t="s">
        <v>52</v>
      </c>
      <c r="C224" s="123"/>
      <c r="D224" s="123" t="s">
        <v>3</v>
      </c>
      <c r="E224" s="123"/>
      <c r="F224" s="123"/>
      <c r="G224" s="123"/>
      <c r="H224" s="123"/>
      <c r="I224" s="123"/>
      <c r="J224" s="123"/>
      <c r="K224" s="124"/>
      <c r="L224" s="57"/>
      <c r="X224" s="57"/>
      <c r="Y224" s="57"/>
      <c r="Z224" s="57"/>
    </row>
    <row r="225" spans="1:26" ht="13.5">
      <c r="A225" s="57"/>
      <c r="B225" s="130" t="s">
        <v>50</v>
      </c>
      <c r="C225" s="353"/>
      <c r="D225" s="353"/>
      <c r="E225" s="353"/>
      <c r="F225" s="353"/>
      <c r="G225" s="353"/>
      <c r="H225" s="123"/>
      <c r="I225" s="123"/>
      <c r="J225" s="123"/>
      <c r="K225" s="124"/>
      <c r="L225" s="57"/>
      <c r="X225" s="57"/>
      <c r="Y225" s="57"/>
      <c r="Z225" s="57"/>
    </row>
    <row r="226" spans="1:26" ht="13.5">
      <c r="A226" s="57"/>
      <c r="B226" s="130" t="s">
        <v>51</v>
      </c>
      <c r="C226" s="353"/>
      <c r="D226" s="353"/>
      <c r="E226" s="353"/>
      <c r="F226" s="353"/>
      <c r="G226" s="353"/>
      <c r="H226" s="123"/>
      <c r="I226" s="123"/>
      <c r="J226" s="123"/>
      <c r="K226" s="124"/>
      <c r="L226" s="57"/>
      <c r="X226" s="57"/>
      <c r="Y226" s="57"/>
      <c r="Z226" s="57"/>
    </row>
    <row r="227" spans="1:26" ht="13.5">
      <c r="A227" s="57"/>
      <c r="B227" s="130" t="s">
        <v>53</v>
      </c>
      <c r="C227" s="353"/>
      <c r="D227" s="353"/>
      <c r="E227" s="353"/>
      <c r="F227" s="353"/>
      <c r="G227" s="353"/>
      <c r="H227" s="123"/>
      <c r="I227" s="123"/>
      <c r="J227" s="123"/>
      <c r="K227" s="124"/>
      <c r="L227" s="57"/>
      <c r="X227" s="57"/>
      <c r="Y227" s="57"/>
      <c r="Z227" s="57"/>
    </row>
    <row r="228" spans="1:26" ht="13.5">
      <c r="A228" s="57"/>
      <c r="B228" s="129"/>
      <c r="C228" s="123"/>
      <c r="D228" s="123"/>
      <c r="E228" s="123"/>
      <c r="F228" s="123"/>
      <c r="G228" s="123"/>
      <c r="H228" s="123"/>
      <c r="I228" s="123"/>
      <c r="J228" s="123"/>
      <c r="K228" s="124"/>
      <c r="L228" s="57"/>
      <c r="X228" s="57"/>
      <c r="Y228" s="57"/>
      <c r="Z228" s="57"/>
    </row>
    <row r="229" spans="1:26" ht="13.5">
      <c r="A229" s="57"/>
      <c r="B229" s="265" t="s">
        <v>4</v>
      </c>
      <c r="C229" s="123"/>
      <c r="D229" s="123"/>
      <c r="E229" s="123"/>
      <c r="F229" s="123"/>
      <c r="G229" s="123"/>
      <c r="H229" s="123"/>
      <c r="I229" s="123"/>
      <c r="J229" s="123"/>
      <c r="K229" s="124"/>
      <c r="L229" s="57"/>
      <c r="X229" s="57"/>
      <c r="Y229" s="57"/>
      <c r="Z229" s="57"/>
    </row>
    <row r="230" spans="1:26" ht="13.5">
      <c r="A230" s="57"/>
      <c r="B230" s="129" t="s">
        <v>1402</v>
      </c>
      <c r="C230" s="123"/>
      <c r="D230" s="123" t="s">
        <v>3</v>
      </c>
      <c r="E230" s="123"/>
      <c r="F230" s="123"/>
      <c r="G230" s="123"/>
      <c r="H230" s="123"/>
      <c r="I230" s="123"/>
      <c r="J230" s="123"/>
      <c r="K230" s="124"/>
      <c r="L230" s="57"/>
      <c r="X230" s="57"/>
      <c r="Y230" s="57"/>
      <c r="Z230" s="57"/>
    </row>
    <row r="231" spans="1:26" ht="13.5">
      <c r="A231" s="57"/>
      <c r="B231" s="130" t="s">
        <v>1403</v>
      </c>
      <c r="C231" s="123"/>
      <c r="D231" s="123"/>
      <c r="E231" s="123"/>
      <c r="F231" s="123"/>
      <c r="G231" s="123"/>
      <c r="H231" s="123"/>
      <c r="I231" s="123"/>
      <c r="J231" s="123"/>
      <c r="K231" s="124"/>
      <c r="L231" s="57"/>
      <c r="X231" s="57"/>
      <c r="Y231" s="57"/>
      <c r="Z231" s="57"/>
    </row>
    <row r="232" spans="1:26" ht="13.5">
      <c r="A232" s="57"/>
      <c r="B232" s="130" t="s">
        <v>1420</v>
      </c>
      <c r="C232" s="123"/>
      <c r="D232" s="123"/>
      <c r="E232" s="123"/>
      <c r="F232" s="123"/>
      <c r="G232" s="123"/>
      <c r="H232" s="123"/>
      <c r="I232" s="123"/>
      <c r="J232" s="123"/>
      <c r="K232" s="124"/>
      <c r="L232" s="57"/>
      <c r="X232" s="57"/>
      <c r="Y232" s="57"/>
      <c r="Z232" s="57"/>
    </row>
    <row r="233" spans="1:26" ht="13.5">
      <c r="A233" s="57"/>
      <c r="B233" s="130" t="s">
        <v>1404</v>
      </c>
      <c r="C233" s="123"/>
      <c r="D233" s="123"/>
      <c r="E233" s="123"/>
      <c r="F233" s="123"/>
      <c r="G233" s="123"/>
      <c r="H233" s="123"/>
      <c r="I233" s="123"/>
      <c r="J233" s="123"/>
      <c r="K233" s="124"/>
      <c r="L233" s="57"/>
      <c r="X233" s="57"/>
      <c r="Y233" s="57"/>
      <c r="Z233" s="57"/>
    </row>
    <row r="234" spans="1:26" ht="13.5">
      <c r="A234" s="57"/>
      <c r="B234" s="130" t="s">
        <v>1419</v>
      </c>
      <c r="C234" s="123"/>
      <c r="D234" s="123"/>
      <c r="E234" s="353"/>
      <c r="F234" s="123"/>
      <c r="G234" s="123"/>
      <c r="H234" s="123"/>
      <c r="I234" s="123"/>
      <c r="J234" s="123"/>
      <c r="K234" s="124"/>
      <c r="L234" s="57"/>
      <c r="X234" s="57"/>
      <c r="Y234" s="57"/>
      <c r="Z234" s="57"/>
    </row>
    <row r="235" spans="1:26" ht="13.5">
      <c r="A235" s="57"/>
      <c r="B235" s="130"/>
      <c r="C235" s="123"/>
      <c r="D235" s="123"/>
      <c r="E235" s="123"/>
      <c r="F235" s="123"/>
      <c r="G235" s="123"/>
      <c r="H235" s="123"/>
      <c r="I235" s="123"/>
      <c r="J235" s="123"/>
      <c r="K235" s="124"/>
      <c r="L235" s="57"/>
      <c r="X235" s="57"/>
      <c r="Y235" s="57"/>
      <c r="Z235" s="57"/>
    </row>
    <row r="236" spans="1:26" ht="13.5">
      <c r="A236" s="57"/>
      <c r="B236" s="265" t="s">
        <v>1393</v>
      </c>
      <c r="C236" s="123"/>
      <c r="D236" s="123"/>
      <c r="E236" s="123"/>
      <c r="F236" s="123"/>
      <c r="G236" s="123"/>
      <c r="H236" s="123"/>
      <c r="I236" s="123"/>
      <c r="J236" s="123"/>
      <c r="K236" s="124"/>
      <c r="L236" s="57"/>
      <c r="X236" s="57"/>
      <c r="Y236" s="57"/>
      <c r="Z236" s="57"/>
    </row>
    <row r="237" spans="1:26" ht="13.5">
      <c r="A237" s="57"/>
      <c r="B237" s="129" t="s">
        <v>1394</v>
      </c>
      <c r="C237" s="123"/>
      <c r="D237" s="123"/>
      <c r="E237" s="123"/>
      <c r="F237" s="123"/>
      <c r="G237" s="123"/>
      <c r="H237" s="123"/>
      <c r="I237" s="123"/>
      <c r="J237" s="123"/>
      <c r="K237" s="124"/>
      <c r="L237" s="57"/>
      <c r="X237" s="57"/>
      <c r="Y237" s="57"/>
      <c r="Z237" s="57"/>
    </row>
    <row r="238" spans="1:26" ht="13.5">
      <c r="A238" s="57"/>
      <c r="B238" s="130" t="s">
        <v>1397</v>
      </c>
      <c r="C238" s="123"/>
      <c r="D238" s="123"/>
      <c r="E238" s="123"/>
      <c r="F238" s="123"/>
      <c r="G238" s="123"/>
      <c r="H238" s="123"/>
      <c r="I238" s="123"/>
      <c r="J238" s="123"/>
      <c r="K238" s="124"/>
      <c r="L238" s="57"/>
      <c r="X238" s="57"/>
      <c r="Y238" s="57"/>
      <c r="Z238" s="57"/>
    </row>
    <row r="239" spans="1:26" ht="13.5">
      <c r="A239" s="57"/>
      <c r="B239" s="265"/>
      <c r="C239" s="123"/>
      <c r="D239" s="123"/>
      <c r="E239" s="123"/>
      <c r="F239" s="123"/>
      <c r="G239" s="123"/>
      <c r="H239" s="123"/>
      <c r="I239" s="123"/>
      <c r="J239" s="123"/>
      <c r="K239" s="124"/>
      <c r="L239" s="57"/>
      <c r="X239" s="57"/>
      <c r="Y239" s="57"/>
      <c r="Z239" s="57"/>
    </row>
    <row r="240" spans="1:26" ht="13.5">
      <c r="A240" s="57"/>
      <c r="B240" s="265" t="s">
        <v>1392</v>
      </c>
      <c r="C240" s="123"/>
      <c r="D240" s="123"/>
      <c r="E240" s="123"/>
      <c r="F240" s="123"/>
      <c r="G240" s="123"/>
      <c r="H240" s="123"/>
      <c r="I240" s="123"/>
      <c r="J240" s="123"/>
      <c r="K240" s="124"/>
      <c r="L240" s="57"/>
      <c r="X240" s="57"/>
      <c r="Y240" s="57"/>
      <c r="Z240" s="57"/>
    </row>
    <row r="241" spans="1:26" ht="13.5">
      <c r="A241" s="57"/>
      <c r="B241" s="129" t="s">
        <v>1389</v>
      </c>
      <c r="C241" s="123"/>
      <c r="D241" s="123"/>
      <c r="E241" s="123"/>
      <c r="F241" s="123"/>
      <c r="G241" s="123"/>
      <c r="H241" s="123"/>
      <c r="I241" s="123"/>
      <c r="J241" s="123"/>
      <c r="K241" s="124"/>
      <c r="L241" s="57"/>
      <c r="X241" s="57"/>
      <c r="Y241" s="57"/>
      <c r="Z241" s="57"/>
    </row>
    <row r="242" spans="1:26" ht="13.5">
      <c r="A242" s="57"/>
      <c r="B242" s="265" t="s">
        <v>1390</v>
      </c>
      <c r="C242" s="123"/>
      <c r="D242" s="123"/>
      <c r="E242" s="123"/>
      <c r="F242" s="123"/>
      <c r="G242" s="123"/>
      <c r="H242" s="123"/>
      <c r="I242" s="123"/>
      <c r="J242" s="123"/>
      <c r="K242" s="124"/>
      <c r="L242" s="57"/>
      <c r="X242" s="57"/>
      <c r="Y242" s="57"/>
      <c r="Z242" s="57"/>
    </row>
    <row r="243" spans="1:26" ht="13.5">
      <c r="A243" s="57"/>
      <c r="B243" s="265"/>
      <c r="C243" s="123"/>
      <c r="D243" s="123"/>
      <c r="E243" s="123"/>
      <c r="F243" s="123"/>
      <c r="G243" s="123"/>
      <c r="H243" s="123"/>
      <c r="I243" s="123"/>
      <c r="J243" s="123"/>
      <c r="K243" s="124"/>
      <c r="L243" s="57"/>
      <c r="X243" s="57"/>
      <c r="Y243" s="57"/>
      <c r="Z243" s="57"/>
    </row>
    <row r="244" spans="1:26" ht="13.5">
      <c r="A244" s="57"/>
      <c r="B244" s="122" t="s">
        <v>1391</v>
      </c>
      <c r="C244" s="123"/>
      <c r="D244" s="123"/>
      <c r="E244" s="123"/>
      <c r="F244" s="123"/>
      <c r="G244" s="123"/>
      <c r="H244" s="123"/>
      <c r="I244" s="123"/>
      <c r="J244" s="123"/>
      <c r="K244" s="124"/>
      <c r="L244" s="57"/>
      <c r="X244" s="57"/>
      <c r="Y244" s="57"/>
      <c r="Z244" s="57"/>
    </row>
    <row r="245" spans="1:26" ht="13.5">
      <c r="A245" s="57"/>
      <c r="B245" s="129" t="s">
        <v>1387</v>
      </c>
      <c r="C245" s="123"/>
      <c r="D245" s="123"/>
      <c r="E245" s="123"/>
      <c r="F245" s="123"/>
      <c r="G245" s="123"/>
      <c r="H245" s="123"/>
      <c r="I245" s="123"/>
      <c r="J245" s="123"/>
      <c r="K245" s="124"/>
      <c r="L245" s="57"/>
      <c r="X245" s="57"/>
      <c r="Y245" s="57"/>
      <c r="Z245" s="57"/>
    </row>
    <row r="246" spans="1:26" ht="13.5">
      <c r="A246" s="57"/>
      <c r="B246" s="130" t="s">
        <v>1388</v>
      </c>
      <c r="C246" s="123"/>
      <c r="D246" s="123"/>
      <c r="E246" s="123"/>
      <c r="F246" s="123"/>
      <c r="G246" s="123"/>
      <c r="H246" s="123"/>
      <c r="I246" s="123"/>
      <c r="J246" s="123"/>
      <c r="K246" s="124"/>
      <c r="L246" s="57"/>
      <c r="X246" s="57"/>
      <c r="Y246" s="57"/>
      <c r="Z246" s="57"/>
    </row>
    <row r="247" spans="1:26" ht="13.5">
      <c r="A247" s="57"/>
      <c r="B247" s="129"/>
      <c r="C247" s="123"/>
      <c r="D247" s="123"/>
      <c r="E247" s="123"/>
      <c r="F247" s="123"/>
      <c r="G247" s="123"/>
      <c r="H247" s="123"/>
      <c r="I247" s="123"/>
      <c r="J247" s="123"/>
      <c r="K247" s="124"/>
      <c r="L247" s="57"/>
      <c r="X247" s="57"/>
      <c r="Y247" s="57"/>
      <c r="Z247" s="57"/>
    </row>
    <row r="248" spans="1:26" ht="13.5">
      <c r="A248" s="57"/>
      <c r="B248" s="130" t="s">
        <v>1386</v>
      </c>
      <c r="C248" s="123"/>
      <c r="D248" s="123"/>
      <c r="E248" s="123"/>
      <c r="F248" s="123"/>
      <c r="G248" s="123"/>
      <c r="H248" s="123"/>
      <c r="I248" s="123"/>
      <c r="J248" s="123"/>
      <c r="K248" s="124"/>
      <c r="L248" s="57"/>
      <c r="X248" s="57"/>
      <c r="Y248" s="57"/>
      <c r="Z248" s="57"/>
    </row>
    <row r="249" spans="1:26" ht="13.5">
      <c r="A249" s="57"/>
      <c r="B249" s="129" t="s">
        <v>1380</v>
      </c>
      <c r="C249" s="123"/>
      <c r="D249" s="123"/>
      <c r="E249" s="123"/>
      <c r="F249" s="123"/>
      <c r="G249" s="123"/>
      <c r="H249" s="123"/>
      <c r="I249" s="123"/>
      <c r="J249" s="123"/>
      <c r="K249" s="124"/>
      <c r="L249" s="57"/>
      <c r="X249" s="57"/>
      <c r="Y249" s="57"/>
      <c r="Z249" s="57"/>
    </row>
    <row r="250" spans="1:26" ht="13.5">
      <c r="A250" s="57"/>
      <c r="B250" s="130" t="s">
        <v>1381</v>
      </c>
      <c r="C250" s="123"/>
      <c r="D250" s="123"/>
      <c r="E250" s="123"/>
      <c r="F250" s="123"/>
      <c r="G250" s="123"/>
      <c r="H250" s="123"/>
      <c r="I250" s="123"/>
      <c r="J250" s="123"/>
      <c r="K250" s="124"/>
      <c r="L250" s="57"/>
      <c r="X250" s="57"/>
      <c r="Y250" s="57"/>
      <c r="Z250" s="57"/>
    </row>
    <row r="251" spans="1:26" ht="13.5">
      <c r="A251" s="57"/>
      <c r="B251" s="130" t="s">
        <v>1385</v>
      </c>
      <c r="C251" s="123"/>
      <c r="D251" s="123"/>
      <c r="E251" s="123"/>
      <c r="F251" s="123"/>
      <c r="G251" s="123"/>
      <c r="H251" s="123"/>
      <c r="I251" s="123"/>
      <c r="J251" s="123"/>
      <c r="K251" s="124"/>
      <c r="L251" s="57"/>
      <c r="X251" s="57"/>
      <c r="Y251" s="57"/>
      <c r="Z251" s="57"/>
    </row>
    <row r="252" spans="1:26" ht="13.5">
      <c r="A252" s="57"/>
      <c r="B252" s="130" t="s">
        <v>1382</v>
      </c>
      <c r="C252" s="123"/>
      <c r="D252" s="123"/>
      <c r="E252" s="123"/>
      <c r="F252" s="123"/>
      <c r="G252" s="123"/>
      <c r="H252" s="123"/>
      <c r="I252" s="123"/>
      <c r="J252" s="123"/>
      <c r="K252" s="124"/>
      <c r="L252" s="57"/>
      <c r="X252" s="57"/>
      <c r="Y252" s="57"/>
      <c r="Z252" s="57"/>
    </row>
    <row r="253" spans="1:26" ht="13.5">
      <c r="A253" s="57"/>
      <c r="B253" s="129"/>
      <c r="C253" s="123"/>
      <c r="D253" s="123"/>
      <c r="E253" s="123"/>
      <c r="F253" s="123"/>
      <c r="G253" s="123"/>
      <c r="H253" s="123"/>
      <c r="I253" s="123"/>
      <c r="J253" s="123"/>
      <c r="K253" s="124"/>
      <c r="L253" s="57"/>
      <c r="X253" s="57"/>
      <c r="Y253" s="57"/>
      <c r="Z253" s="57"/>
    </row>
    <row r="254" spans="1:26" ht="13.5">
      <c r="A254" s="57"/>
      <c r="B254" s="130" t="s">
        <v>1322</v>
      </c>
      <c r="C254" s="123"/>
      <c r="D254" s="123"/>
      <c r="E254" s="123"/>
      <c r="F254" s="123"/>
      <c r="G254" s="123"/>
      <c r="H254" s="123"/>
      <c r="I254" s="123"/>
      <c r="J254" s="123"/>
      <c r="K254" s="124"/>
      <c r="L254" s="57"/>
      <c r="X254" s="57"/>
      <c r="Y254" s="57"/>
      <c r="Z254" s="57"/>
    </row>
    <row r="255" spans="1:26" ht="13.5">
      <c r="A255" s="57"/>
      <c r="B255" s="129" t="s">
        <v>1324</v>
      </c>
      <c r="C255" s="123"/>
      <c r="D255" s="123"/>
      <c r="E255" s="123"/>
      <c r="F255" s="123"/>
      <c r="G255" s="123"/>
      <c r="H255" s="123"/>
      <c r="I255" s="123"/>
      <c r="J255" s="123"/>
      <c r="K255" s="124"/>
      <c r="L255" s="57"/>
      <c r="X255" s="57"/>
      <c r="Y255" s="57"/>
      <c r="Z255" s="57"/>
    </row>
    <row r="256" spans="1:26" ht="13.5">
      <c r="A256" s="57"/>
      <c r="B256" s="130" t="s">
        <v>1323</v>
      </c>
      <c r="C256" s="353"/>
      <c r="D256" s="353"/>
      <c r="E256" s="353"/>
      <c r="F256" s="123"/>
      <c r="G256" s="123"/>
      <c r="H256" s="123"/>
      <c r="I256" s="123"/>
      <c r="J256" s="123"/>
      <c r="K256" s="124"/>
      <c r="L256" s="57"/>
      <c r="X256" s="57"/>
      <c r="Y256" s="57"/>
      <c r="Z256" s="57"/>
    </row>
    <row r="257" spans="1:26" ht="13.5">
      <c r="A257" s="57"/>
      <c r="B257" s="130" t="s">
        <v>1341</v>
      </c>
      <c r="C257" s="353"/>
      <c r="D257" s="353"/>
      <c r="E257" s="353"/>
      <c r="F257" s="123"/>
      <c r="G257" s="123"/>
      <c r="H257" s="123"/>
      <c r="I257" s="123"/>
      <c r="J257" s="123"/>
      <c r="K257" s="124"/>
      <c r="L257" s="57"/>
      <c r="M257" s="288"/>
      <c r="N257" s="288"/>
      <c r="O257" s="288"/>
      <c r="P257" s="288"/>
      <c r="Q257" s="288"/>
      <c r="R257" s="288"/>
      <c r="S257" s="288"/>
      <c r="T257" s="288"/>
      <c r="U257" s="288"/>
      <c r="V257" s="288"/>
      <c r="W257" s="288"/>
      <c r="X257" s="57"/>
      <c r="Y257" s="57"/>
      <c r="Z257" s="57"/>
    </row>
    <row r="258" spans="1:26" ht="13.5">
      <c r="A258" s="57"/>
      <c r="B258" s="129"/>
      <c r="C258" s="123"/>
      <c r="D258" s="123"/>
      <c r="E258" s="123"/>
      <c r="F258" s="123"/>
      <c r="G258" s="123"/>
      <c r="H258" s="123"/>
      <c r="I258" s="123"/>
      <c r="J258" s="123"/>
      <c r="K258" s="124"/>
      <c r="L258" s="57"/>
      <c r="M258" s="288"/>
      <c r="N258" s="288"/>
      <c r="O258" s="288"/>
      <c r="P258" s="288"/>
      <c r="Q258" s="288"/>
      <c r="R258" s="288"/>
      <c r="S258" s="288"/>
      <c r="T258" s="288"/>
      <c r="U258" s="288"/>
      <c r="V258" s="288"/>
      <c r="W258" s="288"/>
      <c r="X258" s="57"/>
      <c r="Y258" s="57"/>
      <c r="Z258" s="57"/>
    </row>
    <row r="259" spans="1:26" ht="13.5">
      <c r="A259" s="57"/>
      <c r="B259" s="130" t="s">
        <v>1314</v>
      </c>
      <c r="C259" s="353"/>
      <c r="D259" s="353"/>
      <c r="E259" s="353"/>
      <c r="F259" s="123"/>
      <c r="G259" s="123"/>
      <c r="H259" s="123"/>
      <c r="I259" s="123"/>
      <c r="J259" s="123"/>
      <c r="K259" s="124"/>
      <c r="L259" s="57"/>
      <c r="M259" s="288"/>
      <c r="N259" s="288"/>
      <c r="O259" s="288"/>
      <c r="P259" s="288"/>
      <c r="Q259" s="288"/>
      <c r="R259" s="288"/>
      <c r="S259" s="288"/>
      <c r="T259" s="288"/>
      <c r="U259" s="288"/>
      <c r="V259" s="288"/>
      <c r="W259" s="288"/>
      <c r="X259" s="57"/>
      <c r="Y259" s="57"/>
      <c r="Z259" s="57"/>
    </row>
    <row r="260" spans="1:26" ht="13.5">
      <c r="A260" s="57"/>
      <c r="B260" s="129" t="s">
        <v>1315</v>
      </c>
      <c r="C260" s="353"/>
      <c r="D260" s="353"/>
      <c r="E260" s="353"/>
      <c r="F260" s="123"/>
      <c r="G260" s="123"/>
      <c r="H260" s="123"/>
      <c r="I260" s="123"/>
      <c r="J260" s="123"/>
      <c r="K260" s="124"/>
      <c r="L260" s="57"/>
      <c r="M260" s="288"/>
      <c r="N260" s="288"/>
      <c r="O260" s="288"/>
      <c r="P260" s="288"/>
      <c r="Q260" s="288"/>
      <c r="R260" s="288"/>
      <c r="S260" s="288"/>
      <c r="T260" s="288"/>
      <c r="U260" s="288"/>
      <c r="V260" s="288"/>
      <c r="W260" s="288"/>
      <c r="X260" s="57"/>
      <c r="Y260" s="57"/>
      <c r="Z260" s="57"/>
    </row>
    <row r="261" spans="1:26" ht="13.5">
      <c r="A261" s="57"/>
      <c r="B261" s="130" t="s">
        <v>1316</v>
      </c>
      <c r="C261" s="353"/>
      <c r="D261" s="353"/>
      <c r="E261" s="353"/>
      <c r="F261" s="123"/>
      <c r="G261" s="123"/>
      <c r="H261" s="123"/>
      <c r="I261" s="123"/>
      <c r="J261" s="123"/>
      <c r="K261" s="124"/>
      <c r="L261" s="57"/>
      <c r="M261" s="288"/>
      <c r="N261" s="288"/>
      <c r="O261" s="288"/>
      <c r="P261" s="288"/>
      <c r="Q261" s="288"/>
      <c r="R261" s="288"/>
      <c r="S261" s="288"/>
      <c r="T261" s="288"/>
      <c r="U261" s="288"/>
      <c r="V261" s="288"/>
      <c r="W261" s="288"/>
      <c r="X261" s="57"/>
      <c r="Y261" s="57"/>
      <c r="Z261" s="57"/>
    </row>
    <row r="262" spans="1:26" ht="13.5">
      <c r="A262" s="57"/>
      <c r="B262" s="130" t="s">
        <v>1317</v>
      </c>
      <c r="C262" s="353"/>
      <c r="D262" s="353"/>
      <c r="E262" s="353"/>
      <c r="F262" s="123"/>
      <c r="G262" s="123"/>
      <c r="H262" s="123"/>
      <c r="I262" s="123"/>
      <c r="J262" s="123"/>
      <c r="K262" s="124"/>
      <c r="L262" s="57"/>
      <c r="M262" s="288"/>
      <c r="N262" s="288"/>
      <c r="O262" s="288"/>
      <c r="P262" s="288"/>
      <c r="Q262" s="288"/>
      <c r="R262" s="288"/>
      <c r="S262" s="288"/>
      <c r="T262" s="288"/>
      <c r="U262" s="288"/>
      <c r="V262" s="288"/>
      <c r="W262" s="288"/>
      <c r="X262" s="57"/>
      <c r="Y262" s="57"/>
      <c r="Z262" s="57"/>
    </row>
    <row r="263" spans="1:26" ht="13.5">
      <c r="A263" s="57"/>
      <c r="B263" s="130" t="s">
        <v>1321</v>
      </c>
      <c r="C263" s="353"/>
      <c r="D263" s="353"/>
      <c r="E263" s="353"/>
      <c r="F263" s="123"/>
      <c r="G263" s="123"/>
      <c r="H263" s="123"/>
      <c r="I263" s="123"/>
      <c r="J263" s="123"/>
      <c r="K263" s="124"/>
      <c r="L263" s="57"/>
      <c r="M263" s="288"/>
      <c r="N263" s="288"/>
      <c r="O263" s="288"/>
      <c r="P263" s="288"/>
      <c r="Q263" s="288"/>
      <c r="R263" s="288"/>
      <c r="S263" s="288"/>
      <c r="T263" s="288"/>
      <c r="U263" s="288"/>
      <c r="V263" s="288"/>
      <c r="W263" s="288"/>
      <c r="X263" s="57"/>
      <c r="Y263" s="57"/>
      <c r="Z263" s="57"/>
    </row>
    <row r="264" spans="1:26" ht="13.5">
      <c r="A264" s="57"/>
      <c r="B264" s="130"/>
      <c r="C264" s="353"/>
      <c r="D264" s="353"/>
      <c r="E264" s="353"/>
      <c r="F264" s="123"/>
      <c r="G264" s="123"/>
      <c r="H264" s="123"/>
      <c r="I264" s="123"/>
      <c r="J264" s="123"/>
      <c r="K264" s="124"/>
      <c r="L264" s="57"/>
      <c r="M264" s="288"/>
      <c r="N264" s="288"/>
      <c r="O264" s="288"/>
      <c r="P264" s="288"/>
      <c r="Q264" s="288"/>
      <c r="R264" s="288"/>
      <c r="S264" s="288"/>
      <c r="T264" s="288"/>
      <c r="U264" s="288"/>
      <c r="V264" s="288"/>
      <c r="W264" s="288"/>
      <c r="X264" s="57"/>
      <c r="Y264" s="57"/>
      <c r="Z264" s="57"/>
    </row>
    <row r="265" spans="1:26" ht="13.5">
      <c r="A265" s="57"/>
      <c r="B265" s="122" t="s">
        <v>1154</v>
      </c>
      <c r="C265" s="123"/>
      <c r="D265" s="123"/>
      <c r="E265" s="123"/>
      <c r="F265" s="123"/>
      <c r="G265" s="123"/>
      <c r="H265" s="123"/>
      <c r="I265" s="123"/>
      <c r="J265" s="123"/>
      <c r="K265" s="124"/>
      <c r="L265" s="57"/>
      <c r="M265" s="288"/>
      <c r="N265" s="288"/>
      <c r="O265" s="288"/>
      <c r="P265" s="288"/>
      <c r="Q265" s="288"/>
      <c r="R265" s="288"/>
      <c r="S265" s="288"/>
      <c r="T265" s="288"/>
      <c r="U265" s="288"/>
      <c r="V265" s="288"/>
      <c r="W265" s="288"/>
      <c r="X265" s="57"/>
      <c r="Y265" s="57"/>
      <c r="Z265" s="57"/>
    </row>
    <row r="266" spans="1:26" ht="13.5">
      <c r="A266" s="57"/>
      <c r="B266" s="129" t="s">
        <v>1155</v>
      </c>
      <c r="C266" s="123"/>
      <c r="D266" s="123"/>
      <c r="E266" s="123"/>
      <c r="F266" s="123"/>
      <c r="G266" s="123"/>
      <c r="H266" s="123"/>
      <c r="I266" s="123"/>
      <c r="J266" s="123"/>
      <c r="K266" s="124"/>
      <c r="L266" s="57"/>
      <c r="M266" s="288"/>
      <c r="N266" s="288"/>
      <c r="O266" s="288"/>
      <c r="P266" s="288"/>
      <c r="Q266" s="288"/>
      <c r="R266" s="288"/>
      <c r="S266" s="288"/>
      <c r="T266" s="288"/>
      <c r="U266" s="288"/>
      <c r="V266" s="288"/>
      <c r="W266" s="288"/>
      <c r="X266" s="57"/>
      <c r="Y266" s="57"/>
      <c r="Z266" s="57"/>
    </row>
    <row r="267" spans="1:26" ht="13.5">
      <c r="A267" s="57"/>
      <c r="B267" s="265" t="s">
        <v>1156</v>
      </c>
      <c r="C267" s="320"/>
      <c r="D267" s="320"/>
      <c r="E267" s="320"/>
      <c r="F267" s="320"/>
      <c r="G267" s="320"/>
      <c r="H267" s="320"/>
      <c r="I267" s="123"/>
      <c r="J267" s="123"/>
      <c r="K267" s="124"/>
      <c r="L267" s="57"/>
      <c r="M267" s="288"/>
      <c r="N267" s="288"/>
      <c r="O267" s="288"/>
      <c r="P267" s="288"/>
      <c r="Q267" s="288"/>
      <c r="R267" s="288"/>
      <c r="S267" s="288"/>
      <c r="T267" s="288"/>
      <c r="U267" s="288"/>
      <c r="V267" s="288"/>
      <c r="W267" s="288"/>
      <c r="X267" s="57"/>
      <c r="Y267" s="57"/>
      <c r="Z267" s="57"/>
    </row>
    <row r="268" spans="1:26" ht="13.5">
      <c r="A268" s="57"/>
      <c r="B268" s="265" t="s">
        <v>1158</v>
      </c>
      <c r="C268" s="320"/>
      <c r="D268" s="320"/>
      <c r="E268" s="320"/>
      <c r="F268" s="320"/>
      <c r="G268" s="320"/>
      <c r="H268" s="320"/>
      <c r="I268" s="123"/>
      <c r="J268" s="123"/>
      <c r="K268" s="124"/>
      <c r="L268" s="57"/>
      <c r="M268" s="288"/>
      <c r="N268" s="288"/>
      <c r="O268" s="288"/>
      <c r="P268" s="288"/>
      <c r="Q268" s="288"/>
      <c r="R268" s="288"/>
      <c r="S268" s="288"/>
      <c r="T268" s="288"/>
      <c r="U268" s="288"/>
      <c r="V268" s="288"/>
      <c r="W268" s="288"/>
      <c r="X268" s="57"/>
      <c r="Y268" s="57"/>
      <c r="Z268" s="57"/>
    </row>
    <row r="269" spans="1:26" ht="13.5">
      <c r="A269" s="57"/>
      <c r="B269" s="265" t="s">
        <v>1157</v>
      </c>
      <c r="C269" s="320"/>
      <c r="D269" s="320"/>
      <c r="E269" s="320"/>
      <c r="F269" s="320"/>
      <c r="G269" s="320"/>
      <c r="H269" s="320"/>
      <c r="I269" s="123"/>
      <c r="J269" s="123"/>
      <c r="K269" s="124"/>
      <c r="L269" s="57"/>
      <c r="M269" s="288"/>
      <c r="N269" s="288"/>
      <c r="O269" s="288"/>
      <c r="P269" s="288"/>
      <c r="Q269" s="288"/>
      <c r="R269" s="288"/>
      <c r="S269" s="288"/>
      <c r="T269" s="288"/>
      <c r="U269" s="288"/>
      <c r="V269" s="288"/>
      <c r="W269" s="288"/>
      <c r="X269" s="57"/>
      <c r="Y269" s="57"/>
      <c r="Z269" s="57"/>
    </row>
    <row r="270" spans="1:26" ht="13.5">
      <c r="A270" s="57"/>
      <c r="B270" s="265" t="s">
        <v>1159</v>
      </c>
      <c r="C270" s="320"/>
      <c r="D270" s="320"/>
      <c r="E270" s="320"/>
      <c r="F270" s="320"/>
      <c r="G270" s="320"/>
      <c r="H270" s="320"/>
      <c r="I270" s="123"/>
      <c r="J270" s="123"/>
      <c r="K270" s="124"/>
      <c r="L270" s="57"/>
      <c r="M270" s="288"/>
      <c r="N270" s="288"/>
      <c r="O270" s="288"/>
      <c r="P270" s="288"/>
      <c r="Q270" s="288"/>
      <c r="R270" s="288"/>
      <c r="S270" s="288"/>
      <c r="T270" s="288"/>
      <c r="U270" s="288"/>
      <c r="V270" s="288"/>
      <c r="W270" s="288"/>
      <c r="X270" s="57"/>
      <c r="Y270" s="57"/>
      <c r="Z270" s="57"/>
    </row>
    <row r="271" spans="1:26" ht="13.5">
      <c r="A271" s="57"/>
      <c r="B271" s="265" t="s">
        <v>1160</v>
      </c>
      <c r="C271" s="320"/>
      <c r="D271" s="320"/>
      <c r="E271" s="320"/>
      <c r="F271" s="320"/>
      <c r="G271" s="320"/>
      <c r="H271" s="320"/>
      <c r="I271" s="123"/>
      <c r="J271" s="123"/>
      <c r="K271" s="124"/>
      <c r="L271" s="57"/>
      <c r="M271" s="288"/>
      <c r="N271" s="288"/>
      <c r="O271" s="288"/>
      <c r="P271" s="288"/>
      <c r="Q271" s="288"/>
      <c r="R271" s="288"/>
      <c r="S271" s="288"/>
      <c r="T271" s="288"/>
      <c r="U271" s="288"/>
      <c r="V271" s="288"/>
      <c r="W271" s="288"/>
      <c r="X271" s="57"/>
      <c r="Y271" s="57"/>
      <c r="Z271" s="57"/>
    </row>
    <row r="272" spans="1:26" ht="13.5">
      <c r="A272" s="57"/>
      <c r="B272" s="265" t="s">
        <v>1234</v>
      </c>
      <c r="C272" s="320"/>
      <c r="D272" s="320"/>
      <c r="E272" s="320"/>
      <c r="F272" s="320"/>
      <c r="G272" s="320"/>
      <c r="H272" s="320"/>
      <c r="I272" s="123"/>
      <c r="J272" s="123"/>
      <c r="K272" s="124"/>
      <c r="L272" s="57"/>
      <c r="M272" s="288"/>
      <c r="N272" s="288"/>
      <c r="O272" s="288"/>
      <c r="P272" s="288"/>
      <c r="Q272" s="288"/>
      <c r="R272" s="288"/>
      <c r="S272" s="288"/>
      <c r="T272" s="288"/>
      <c r="U272" s="288"/>
      <c r="V272" s="288"/>
      <c r="W272" s="288"/>
      <c r="X272" s="57"/>
      <c r="Y272" s="57"/>
      <c r="Z272" s="57"/>
    </row>
    <row r="273" spans="1:26" ht="13.5">
      <c r="A273" s="57"/>
      <c r="B273" s="129"/>
      <c r="C273" s="123"/>
      <c r="D273" s="123"/>
      <c r="E273" s="123"/>
      <c r="F273" s="123"/>
      <c r="G273" s="123"/>
      <c r="H273" s="123"/>
      <c r="I273" s="123"/>
      <c r="J273" s="123"/>
      <c r="K273" s="124"/>
      <c r="L273" s="57"/>
      <c r="M273" s="288"/>
      <c r="N273" s="288"/>
      <c r="O273" s="288"/>
      <c r="P273" s="288"/>
      <c r="Q273" s="288"/>
      <c r="R273" s="288"/>
      <c r="S273" s="288"/>
      <c r="T273" s="288"/>
      <c r="U273" s="288"/>
      <c r="V273" s="288"/>
      <c r="W273" s="288"/>
      <c r="X273" s="57"/>
      <c r="Y273" s="57"/>
      <c r="Z273" s="57"/>
    </row>
    <row r="274" spans="1:26" ht="13.5">
      <c r="A274" s="57"/>
      <c r="B274" s="122" t="s">
        <v>934</v>
      </c>
      <c r="C274" s="123"/>
      <c r="D274" s="123"/>
      <c r="E274" s="123"/>
      <c r="F274" s="123"/>
      <c r="G274" s="123"/>
      <c r="H274" s="123"/>
      <c r="I274" s="123"/>
      <c r="J274" s="123"/>
      <c r="K274" s="124"/>
      <c r="L274" s="57"/>
      <c r="M274" s="288"/>
      <c r="N274" s="288"/>
      <c r="O274" s="288"/>
      <c r="P274" s="288"/>
      <c r="Q274" s="288"/>
      <c r="R274" s="288"/>
      <c r="S274" s="288"/>
      <c r="T274" s="288"/>
      <c r="U274" s="288"/>
      <c r="V274" s="288"/>
      <c r="W274" s="288"/>
      <c r="X274" s="57"/>
      <c r="Y274" s="57"/>
      <c r="Z274" s="57"/>
    </row>
    <row r="275" spans="1:26" ht="13.5">
      <c r="A275" s="57"/>
      <c r="B275" s="129" t="s">
        <v>935</v>
      </c>
      <c r="C275" s="123"/>
      <c r="D275" s="123"/>
      <c r="E275" s="123"/>
      <c r="F275" s="123"/>
      <c r="G275" s="123"/>
      <c r="H275" s="123"/>
      <c r="I275" s="123"/>
      <c r="J275" s="123"/>
      <c r="K275" s="124"/>
      <c r="L275" s="57"/>
      <c r="M275" s="288"/>
      <c r="N275" s="288"/>
      <c r="O275" s="288"/>
      <c r="P275" s="288"/>
      <c r="Q275" s="288"/>
      <c r="R275" s="288"/>
      <c r="S275" s="288"/>
      <c r="T275" s="288"/>
      <c r="U275" s="288"/>
      <c r="V275" s="288"/>
      <c r="W275" s="288"/>
      <c r="X275" s="57"/>
      <c r="Y275" s="57"/>
      <c r="Z275" s="57"/>
    </row>
    <row r="276" spans="1:26" ht="13.5">
      <c r="A276" s="57"/>
      <c r="B276" s="122" t="s">
        <v>936</v>
      </c>
      <c r="C276" s="123"/>
      <c r="D276" s="123"/>
      <c r="E276" s="123"/>
      <c r="F276" s="123"/>
      <c r="G276" s="123"/>
      <c r="H276" s="123"/>
      <c r="I276" s="123"/>
      <c r="J276" s="123"/>
      <c r="K276" s="124"/>
      <c r="L276" s="57"/>
      <c r="M276" s="288"/>
      <c r="N276" s="288"/>
      <c r="O276" s="288"/>
      <c r="P276" s="288"/>
      <c r="Q276" s="288"/>
      <c r="R276" s="288"/>
      <c r="S276" s="288"/>
      <c r="T276" s="288"/>
      <c r="U276" s="288"/>
      <c r="V276" s="288"/>
      <c r="W276" s="288"/>
      <c r="X276" s="57"/>
      <c r="Y276" s="57"/>
      <c r="Z276" s="57"/>
    </row>
    <row r="277" spans="1:26" ht="13.5">
      <c r="A277" s="57"/>
      <c r="B277" s="122" t="s">
        <v>938</v>
      </c>
      <c r="C277" s="123"/>
      <c r="D277" s="123"/>
      <c r="E277" s="123"/>
      <c r="F277" s="123"/>
      <c r="G277" s="123"/>
      <c r="H277" s="123"/>
      <c r="I277" s="123"/>
      <c r="J277" s="123"/>
      <c r="K277" s="124"/>
      <c r="L277" s="57"/>
      <c r="M277" s="288"/>
      <c r="N277" s="288"/>
      <c r="O277" s="288"/>
      <c r="P277" s="288"/>
      <c r="Q277" s="288"/>
      <c r="R277" s="288"/>
      <c r="S277" s="288"/>
      <c r="T277" s="288"/>
      <c r="U277" s="288"/>
      <c r="V277" s="288"/>
      <c r="W277" s="288"/>
      <c r="X277" s="57"/>
      <c r="Y277" s="57"/>
      <c r="Z277" s="57"/>
    </row>
    <row r="278" spans="1:26" ht="13.5">
      <c r="A278" s="57"/>
      <c r="B278" s="122" t="s">
        <v>939</v>
      </c>
      <c r="C278" s="123"/>
      <c r="D278" s="123"/>
      <c r="E278" s="123"/>
      <c r="F278" s="123"/>
      <c r="G278" s="123"/>
      <c r="H278" s="123"/>
      <c r="I278" s="123"/>
      <c r="J278" s="123"/>
      <c r="K278" s="124"/>
      <c r="L278" s="57"/>
      <c r="M278" s="288"/>
      <c r="N278" s="288"/>
      <c r="O278" s="288"/>
      <c r="P278" s="288"/>
      <c r="Q278" s="288"/>
      <c r="R278" s="288"/>
      <c r="S278" s="288"/>
      <c r="T278" s="288"/>
      <c r="U278" s="288"/>
      <c r="V278" s="288"/>
      <c r="W278" s="288"/>
      <c r="X278" s="57"/>
      <c r="Y278" s="57"/>
      <c r="Z278" s="57"/>
    </row>
    <row r="279" spans="1:26" ht="13.5">
      <c r="A279" s="57"/>
      <c r="B279" s="122"/>
      <c r="C279" s="123"/>
      <c r="D279" s="123"/>
      <c r="E279" s="123"/>
      <c r="F279" s="123"/>
      <c r="G279" s="123"/>
      <c r="H279" s="123"/>
      <c r="I279" s="123"/>
      <c r="J279" s="123"/>
      <c r="K279" s="124"/>
      <c r="L279" s="57"/>
      <c r="M279" s="288"/>
      <c r="N279" s="288"/>
      <c r="O279" s="288"/>
      <c r="P279" s="288"/>
      <c r="Q279" s="288"/>
      <c r="R279" s="288"/>
      <c r="S279" s="288"/>
      <c r="T279" s="288"/>
      <c r="U279" s="288"/>
      <c r="V279" s="288"/>
      <c r="W279" s="288"/>
      <c r="X279" s="57"/>
      <c r="Y279" s="57"/>
      <c r="Z279" s="57"/>
    </row>
    <row r="280" spans="1:26" ht="13.5">
      <c r="A280" s="57"/>
      <c r="B280" s="122" t="s">
        <v>809</v>
      </c>
      <c r="C280" s="123"/>
      <c r="D280" s="123"/>
      <c r="E280" s="123"/>
      <c r="F280" s="123"/>
      <c r="G280" s="123"/>
      <c r="H280" s="123"/>
      <c r="I280" s="123"/>
      <c r="J280" s="123"/>
      <c r="K280" s="124"/>
      <c r="L280" s="57"/>
      <c r="M280" s="288"/>
      <c r="N280" s="288"/>
      <c r="O280" s="288"/>
      <c r="P280" s="288"/>
      <c r="Q280" s="288"/>
      <c r="R280" s="288"/>
      <c r="S280" s="288"/>
      <c r="T280" s="288"/>
      <c r="U280" s="288"/>
      <c r="V280" s="288"/>
      <c r="W280" s="288"/>
      <c r="X280" s="57"/>
      <c r="Y280" s="57"/>
      <c r="Z280" s="57"/>
    </row>
    <row r="281" spans="1:26" ht="13.5">
      <c r="A281" s="57"/>
      <c r="B281" s="129" t="s">
        <v>759</v>
      </c>
      <c r="C281" s="123"/>
      <c r="D281" s="123"/>
      <c r="E281" s="123"/>
      <c r="F281" s="123"/>
      <c r="G281" s="123"/>
      <c r="H281" s="123"/>
      <c r="I281" s="123"/>
      <c r="J281" s="123"/>
      <c r="K281" s="124"/>
      <c r="L281" s="57"/>
      <c r="M281" s="288"/>
      <c r="N281" s="288"/>
      <c r="O281" s="288"/>
      <c r="P281" s="288"/>
      <c r="Q281" s="288"/>
      <c r="R281" s="288"/>
      <c r="S281" s="288"/>
      <c r="T281" s="288"/>
      <c r="U281" s="288"/>
      <c r="V281" s="288"/>
      <c r="W281" s="288"/>
      <c r="X281" s="57"/>
      <c r="Y281" s="57"/>
      <c r="Z281" s="57"/>
    </row>
    <row r="282" spans="1:26" ht="13.5">
      <c r="A282" s="57"/>
      <c r="B282" s="130" t="s">
        <v>760</v>
      </c>
      <c r="C282" s="123"/>
      <c r="D282" s="123"/>
      <c r="E282" s="123"/>
      <c r="F282" s="123"/>
      <c r="G282" s="123"/>
      <c r="H282" s="123"/>
      <c r="I282" s="123"/>
      <c r="J282" s="123"/>
      <c r="K282" s="124"/>
      <c r="L282" s="57"/>
      <c r="M282" s="288"/>
      <c r="N282" s="288"/>
      <c r="O282" s="288"/>
      <c r="P282" s="288"/>
      <c r="Q282" s="288"/>
      <c r="R282" s="288"/>
      <c r="S282" s="288"/>
      <c r="T282" s="288"/>
      <c r="U282" s="288"/>
      <c r="V282" s="288"/>
      <c r="W282" s="288"/>
      <c r="X282" s="57"/>
      <c r="Y282" s="57"/>
      <c r="Z282" s="57"/>
    </row>
    <row r="283" spans="2:26" ht="13.5">
      <c r="B283" s="130" t="s">
        <v>761</v>
      </c>
      <c r="C283" s="123"/>
      <c r="D283" s="123"/>
      <c r="E283" s="123"/>
      <c r="F283" s="123"/>
      <c r="G283" s="123"/>
      <c r="H283" s="123"/>
      <c r="I283" s="123"/>
      <c r="J283" s="123"/>
      <c r="K283" s="124"/>
      <c r="L283" s="57"/>
      <c r="M283" s="288"/>
      <c r="N283" s="288"/>
      <c r="O283" s="288"/>
      <c r="P283" s="288"/>
      <c r="Q283" s="288"/>
      <c r="R283" s="288"/>
      <c r="S283" s="288"/>
      <c r="T283" s="288"/>
      <c r="U283" s="288"/>
      <c r="V283" s="288"/>
      <c r="W283" s="288"/>
      <c r="X283" s="57"/>
      <c r="Y283" s="57"/>
      <c r="Z283" s="57"/>
    </row>
    <row r="284" spans="2:23" ht="13.5">
      <c r="B284" s="130" t="s">
        <v>810</v>
      </c>
      <c r="C284" s="123"/>
      <c r="D284" s="123"/>
      <c r="E284" s="123"/>
      <c r="F284" s="123"/>
      <c r="G284" s="123"/>
      <c r="H284" s="123"/>
      <c r="I284" s="123"/>
      <c r="J284" s="123"/>
      <c r="K284" s="124"/>
      <c r="M284" s="288"/>
      <c r="N284" s="288"/>
      <c r="O284" s="288"/>
      <c r="P284" s="288"/>
      <c r="Q284" s="288"/>
      <c r="R284" s="288"/>
      <c r="S284" s="288"/>
      <c r="T284" s="288"/>
      <c r="U284" s="288"/>
      <c r="V284" s="288"/>
      <c r="W284" s="288"/>
    </row>
    <row r="285" spans="2:23" ht="13.5">
      <c r="B285" s="130" t="s">
        <v>811</v>
      </c>
      <c r="C285" s="123"/>
      <c r="D285" s="123"/>
      <c r="E285" s="123"/>
      <c r="F285" s="123"/>
      <c r="G285" s="123"/>
      <c r="H285" s="123"/>
      <c r="I285" s="123"/>
      <c r="J285" s="123"/>
      <c r="K285" s="124"/>
      <c r="M285" s="288"/>
      <c r="N285" s="288"/>
      <c r="O285" s="288"/>
      <c r="P285" s="288"/>
      <c r="Q285" s="288"/>
      <c r="R285" s="288"/>
      <c r="S285" s="288"/>
      <c r="T285" s="288"/>
      <c r="U285" s="288"/>
      <c r="V285" s="288"/>
      <c r="W285" s="288"/>
    </row>
    <row r="286" spans="2:23" ht="13.5">
      <c r="B286" s="130" t="s">
        <v>812</v>
      </c>
      <c r="C286" s="123"/>
      <c r="D286" s="123"/>
      <c r="E286" s="123"/>
      <c r="F286" s="123"/>
      <c r="G286" s="123"/>
      <c r="H286" s="123"/>
      <c r="I286" s="123"/>
      <c r="J286" s="123"/>
      <c r="K286" s="124"/>
      <c r="M286" s="288"/>
      <c r="N286" s="288"/>
      <c r="O286" s="288"/>
      <c r="P286" s="288"/>
      <c r="Q286" s="288"/>
      <c r="R286" s="288"/>
      <c r="S286" s="288"/>
      <c r="T286" s="288"/>
      <c r="U286" s="288"/>
      <c r="V286" s="288"/>
      <c r="W286" s="288"/>
    </row>
    <row r="287" spans="2:23" ht="13.5">
      <c r="B287" s="130" t="s">
        <v>813</v>
      </c>
      <c r="C287" s="123"/>
      <c r="D287" s="123"/>
      <c r="E287" s="123"/>
      <c r="F287" s="123"/>
      <c r="G287" s="123"/>
      <c r="H287" s="123"/>
      <c r="I287" s="123"/>
      <c r="J287" s="123"/>
      <c r="K287" s="124"/>
      <c r="M287" s="288"/>
      <c r="N287" s="288"/>
      <c r="O287" s="288"/>
      <c r="P287" s="288"/>
      <c r="Q287" s="288"/>
      <c r="R287" s="288"/>
      <c r="S287" s="288"/>
      <c r="T287" s="288"/>
      <c r="U287" s="288"/>
      <c r="V287" s="288"/>
      <c r="W287" s="288"/>
    </row>
    <row r="288" spans="2:23" ht="13.5">
      <c r="B288" s="130" t="s">
        <v>814</v>
      </c>
      <c r="C288" s="123"/>
      <c r="D288" s="123"/>
      <c r="E288" s="123"/>
      <c r="F288" s="123"/>
      <c r="G288" s="123"/>
      <c r="H288" s="123"/>
      <c r="I288" s="123"/>
      <c r="J288" s="123"/>
      <c r="K288" s="124"/>
      <c r="M288" s="288"/>
      <c r="N288" s="288"/>
      <c r="O288" s="288"/>
      <c r="P288" s="288"/>
      <c r="Q288" s="288"/>
      <c r="R288" s="288"/>
      <c r="S288" s="288"/>
      <c r="T288" s="288"/>
      <c r="U288" s="288"/>
      <c r="V288" s="288"/>
      <c r="W288" s="288"/>
    </row>
    <row r="289" spans="2:23" ht="13.5">
      <c r="B289" s="122"/>
      <c r="C289" s="123"/>
      <c r="D289" s="123"/>
      <c r="E289" s="123"/>
      <c r="F289" s="123"/>
      <c r="G289" s="123"/>
      <c r="H289" s="123"/>
      <c r="I289" s="123"/>
      <c r="J289" s="123"/>
      <c r="K289" s="124"/>
      <c r="M289" s="288"/>
      <c r="N289" s="288"/>
      <c r="O289" s="288"/>
      <c r="P289" s="288"/>
      <c r="Q289" s="288"/>
      <c r="R289" s="288"/>
      <c r="S289" s="288"/>
      <c r="T289" s="288"/>
      <c r="U289" s="288"/>
      <c r="V289" s="288"/>
      <c r="W289" s="288"/>
    </row>
    <row r="290" spans="2:23" ht="13.5">
      <c r="B290" s="122" t="s">
        <v>753</v>
      </c>
      <c r="C290" s="123"/>
      <c r="D290" s="123"/>
      <c r="E290" s="123"/>
      <c r="F290" s="123"/>
      <c r="G290" s="123"/>
      <c r="H290" s="123"/>
      <c r="I290" s="123"/>
      <c r="J290" s="123"/>
      <c r="K290" s="124"/>
      <c r="M290" s="288"/>
      <c r="N290" s="288"/>
      <c r="O290" s="288"/>
      <c r="P290" s="288"/>
      <c r="Q290" s="288"/>
      <c r="R290" s="288"/>
      <c r="S290" s="288"/>
      <c r="T290" s="288"/>
      <c r="U290" s="288"/>
      <c r="V290" s="288"/>
      <c r="W290" s="288"/>
    </row>
    <row r="291" spans="2:23" ht="13.5">
      <c r="B291" s="129" t="s">
        <v>752</v>
      </c>
      <c r="C291" s="123"/>
      <c r="D291" s="123"/>
      <c r="E291" s="123"/>
      <c r="F291" s="123"/>
      <c r="G291" s="123"/>
      <c r="H291" s="123"/>
      <c r="I291" s="123"/>
      <c r="J291" s="123"/>
      <c r="K291" s="124"/>
      <c r="M291" s="288"/>
      <c r="N291" s="288"/>
      <c r="O291" s="288"/>
      <c r="P291" s="288"/>
      <c r="Q291" s="288"/>
      <c r="R291" s="288"/>
      <c r="S291" s="288"/>
      <c r="T291" s="288"/>
      <c r="U291" s="288"/>
      <c r="V291" s="288"/>
      <c r="W291" s="288"/>
    </row>
    <row r="292" spans="2:23" ht="13.5">
      <c r="B292" s="122" t="s">
        <v>755</v>
      </c>
      <c r="C292" s="123"/>
      <c r="D292" s="123"/>
      <c r="E292" s="123"/>
      <c r="F292" s="123"/>
      <c r="G292" s="123"/>
      <c r="H292" s="123"/>
      <c r="I292" s="123"/>
      <c r="J292" s="123"/>
      <c r="K292" s="124"/>
      <c r="M292" s="288"/>
      <c r="N292" s="288"/>
      <c r="O292" s="288"/>
      <c r="P292" s="288"/>
      <c r="Q292" s="288"/>
      <c r="R292" s="288"/>
      <c r="S292" s="288"/>
      <c r="T292" s="288"/>
      <c r="U292" s="288"/>
      <c r="V292" s="288"/>
      <c r="W292" s="288"/>
    </row>
    <row r="293" spans="2:23" ht="13.5">
      <c r="B293" s="122" t="s">
        <v>756</v>
      </c>
      <c r="C293" s="123"/>
      <c r="D293" s="123"/>
      <c r="E293" s="123"/>
      <c r="F293" s="123"/>
      <c r="G293" s="123"/>
      <c r="H293" s="123"/>
      <c r="I293" s="123"/>
      <c r="J293" s="123"/>
      <c r="K293" s="124"/>
      <c r="M293" s="288"/>
      <c r="N293" s="288"/>
      <c r="O293" s="288"/>
      <c r="P293" s="288"/>
      <c r="Q293" s="288"/>
      <c r="R293" s="288"/>
      <c r="S293" s="288"/>
      <c r="T293" s="288"/>
      <c r="U293" s="288"/>
      <c r="V293" s="288"/>
      <c r="W293" s="288"/>
    </row>
    <row r="294" spans="2:23" ht="13.5">
      <c r="B294" s="122" t="s">
        <v>757</v>
      </c>
      <c r="C294" s="123"/>
      <c r="D294" s="123"/>
      <c r="E294" s="123"/>
      <c r="F294" s="123"/>
      <c r="G294" s="123"/>
      <c r="H294" s="123"/>
      <c r="I294" s="123"/>
      <c r="J294" s="123"/>
      <c r="K294" s="124"/>
      <c r="M294" s="288"/>
      <c r="N294" s="288"/>
      <c r="O294" s="288"/>
      <c r="P294" s="288"/>
      <c r="Q294" s="288"/>
      <c r="R294" s="288"/>
      <c r="S294" s="288"/>
      <c r="T294" s="288"/>
      <c r="U294" s="288"/>
      <c r="V294" s="288"/>
      <c r="W294" s="288"/>
    </row>
    <row r="295" spans="2:23" ht="13.5">
      <c r="B295" s="122" t="s">
        <v>758</v>
      </c>
      <c r="C295" s="123"/>
      <c r="D295" s="123"/>
      <c r="E295" s="123"/>
      <c r="F295" s="123"/>
      <c r="G295" s="123"/>
      <c r="H295" s="123"/>
      <c r="I295" s="123"/>
      <c r="J295" s="123"/>
      <c r="K295" s="124"/>
      <c r="M295" s="288"/>
      <c r="N295" s="288"/>
      <c r="O295" s="288"/>
      <c r="P295" s="288"/>
      <c r="Q295" s="288"/>
      <c r="R295" s="288"/>
      <c r="S295" s="288"/>
      <c r="T295" s="288"/>
      <c r="U295" s="288"/>
      <c r="V295" s="288"/>
      <c r="W295" s="288"/>
    </row>
    <row r="296" spans="2:23" ht="13.5">
      <c r="B296" s="122"/>
      <c r="C296" s="123"/>
      <c r="D296" s="123"/>
      <c r="E296" s="123"/>
      <c r="F296" s="123"/>
      <c r="G296" s="123"/>
      <c r="H296" s="123"/>
      <c r="I296" s="123"/>
      <c r="J296" s="123"/>
      <c r="K296" s="124"/>
      <c r="M296" s="288"/>
      <c r="N296" s="288"/>
      <c r="O296" s="288"/>
      <c r="P296" s="288"/>
      <c r="Q296" s="288"/>
      <c r="R296" s="288"/>
      <c r="S296" s="288"/>
      <c r="T296" s="288"/>
      <c r="U296" s="288"/>
      <c r="V296" s="288"/>
      <c r="W296" s="288"/>
    </row>
    <row r="297" spans="2:23" ht="13.5">
      <c r="B297" s="122" t="s">
        <v>745</v>
      </c>
      <c r="C297" s="123"/>
      <c r="D297" s="123"/>
      <c r="E297" s="123"/>
      <c r="F297" s="123"/>
      <c r="G297" s="123"/>
      <c r="H297" s="123"/>
      <c r="I297" s="123"/>
      <c r="J297" s="123"/>
      <c r="K297" s="124"/>
      <c r="M297" s="288"/>
      <c r="N297" s="288"/>
      <c r="O297" s="288"/>
      <c r="P297" s="288"/>
      <c r="Q297" s="288"/>
      <c r="R297" s="288"/>
      <c r="S297" s="288"/>
      <c r="T297" s="288"/>
      <c r="U297" s="288"/>
      <c r="V297" s="288"/>
      <c r="W297" s="288"/>
    </row>
    <row r="298" spans="2:23" ht="13.5">
      <c r="B298" s="129" t="s">
        <v>746</v>
      </c>
      <c r="C298" s="123"/>
      <c r="D298" s="123"/>
      <c r="E298" s="123"/>
      <c r="F298" s="123"/>
      <c r="G298" s="123"/>
      <c r="H298" s="123"/>
      <c r="I298" s="123"/>
      <c r="J298" s="123"/>
      <c r="K298" s="124"/>
      <c r="M298" s="288"/>
      <c r="N298" s="288"/>
      <c r="O298" s="288"/>
      <c r="P298" s="288"/>
      <c r="Q298" s="288"/>
      <c r="R298" s="288"/>
      <c r="S298" s="288"/>
      <c r="T298" s="288"/>
      <c r="U298" s="288"/>
      <c r="V298" s="288"/>
      <c r="W298" s="288"/>
    </row>
    <row r="299" spans="2:23" ht="13.5">
      <c r="B299" s="122" t="s">
        <v>747</v>
      </c>
      <c r="C299" s="123"/>
      <c r="D299" s="123"/>
      <c r="E299" s="123"/>
      <c r="F299" s="123"/>
      <c r="G299" s="123"/>
      <c r="H299" s="123"/>
      <c r="I299" s="123"/>
      <c r="J299" s="123"/>
      <c r="K299" s="124"/>
      <c r="M299" s="288"/>
      <c r="N299" s="288"/>
      <c r="O299" s="288"/>
      <c r="P299" s="288"/>
      <c r="Q299" s="288"/>
      <c r="R299" s="288"/>
      <c r="S299" s="288"/>
      <c r="T299" s="288"/>
      <c r="U299" s="288"/>
      <c r="V299" s="288"/>
      <c r="W299" s="288"/>
    </row>
    <row r="300" spans="2:23" ht="13.5">
      <c r="B300" s="122" t="s">
        <v>748</v>
      </c>
      <c r="C300" s="123"/>
      <c r="D300" s="123"/>
      <c r="E300" s="123"/>
      <c r="F300" s="123"/>
      <c r="G300" s="123"/>
      <c r="H300" s="123"/>
      <c r="I300" s="123"/>
      <c r="J300" s="123"/>
      <c r="K300" s="124"/>
      <c r="M300" s="288"/>
      <c r="N300" s="288"/>
      <c r="O300" s="288"/>
      <c r="P300" s="288"/>
      <c r="Q300" s="288"/>
      <c r="R300" s="288"/>
      <c r="S300" s="288"/>
      <c r="T300" s="288"/>
      <c r="U300" s="288"/>
      <c r="V300" s="288"/>
      <c r="W300" s="288"/>
    </row>
    <row r="301" spans="2:23" ht="13.5">
      <c r="B301" s="122"/>
      <c r="C301" s="123"/>
      <c r="D301" s="123"/>
      <c r="E301" s="123"/>
      <c r="F301" s="123"/>
      <c r="G301" s="123"/>
      <c r="H301" s="123"/>
      <c r="I301" s="123"/>
      <c r="J301" s="123"/>
      <c r="K301" s="124"/>
      <c r="M301" s="288"/>
      <c r="N301" s="288"/>
      <c r="O301" s="288"/>
      <c r="P301" s="288"/>
      <c r="Q301" s="288"/>
      <c r="R301" s="288"/>
      <c r="S301" s="288"/>
      <c r="T301" s="288"/>
      <c r="U301" s="288"/>
      <c r="V301" s="288"/>
      <c r="W301" s="288"/>
    </row>
    <row r="302" spans="2:23" ht="13.5">
      <c r="B302" s="122" t="s">
        <v>729</v>
      </c>
      <c r="C302" s="123"/>
      <c r="D302" s="123"/>
      <c r="E302" s="123"/>
      <c r="F302" s="123"/>
      <c r="G302" s="123"/>
      <c r="H302" s="123"/>
      <c r="I302" s="123"/>
      <c r="J302" s="123"/>
      <c r="K302" s="124"/>
      <c r="M302" s="288"/>
      <c r="N302" s="288"/>
      <c r="O302" s="288"/>
      <c r="P302" s="288"/>
      <c r="Q302" s="288"/>
      <c r="R302" s="288"/>
      <c r="S302" s="288"/>
      <c r="T302" s="288"/>
      <c r="U302" s="288"/>
      <c r="V302" s="288"/>
      <c r="W302" s="288"/>
    </row>
    <row r="303" spans="2:23" ht="13.5">
      <c r="B303" s="129" t="s">
        <v>730</v>
      </c>
      <c r="C303" s="123"/>
      <c r="D303" s="123"/>
      <c r="E303" s="123"/>
      <c r="F303" s="123"/>
      <c r="G303" s="123"/>
      <c r="H303" s="123"/>
      <c r="I303" s="123"/>
      <c r="J303" s="123"/>
      <c r="K303" s="124"/>
      <c r="M303" s="288"/>
      <c r="N303" s="288"/>
      <c r="O303" s="288"/>
      <c r="P303" s="288"/>
      <c r="Q303" s="288"/>
      <c r="R303" s="288"/>
      <c r="S303" s="288"/>
      <c r="T303" s="288"/>
      <c r="U303" s="288"/>
      <c r="V303" s="288"/>
      <c r="W303" s="288"/>
    </row>
    <row r="304" spans="2:23" ht="13.5">
      <c r="B304" s="122" t="s">
        <v>731</v>
      </c>
      <c r="C304" s="123"/>
      <c r="D304" s="123"/>
      <c r="E304" s="123"/>
      <c r="F304" s="123"/>
      <c r="G304" s="123"/>
      <c r="H304" s="123"/>
      <c r="I304" s="123"/>
      <c r="J304" s="123"/>
      <c r="K304" s="124"/>
      <c r="M304" s="288"/>
      <c r="N304" s="288"/>
      <c r="O304" s="288"/>
      <c r="P304" s="288"/>
      <c r="Q304" s="288"/>
      <c r="R304" s="288"/>
      <c r="S304" s="288"/>
      <c r="T304" s="288"/>
      <c r="U304" s="288"/>
      <c r="V304" s="288"/>
      <c r="W304" s="288"/>
    </row>
    <row r="305" spans="2:11" ht="13.5">
      <c r="B305" s="122" t="s">
        <v>732</v>
      </c>
      <c r="C305" s="123"/>
      <c r="D305" s="123"/>
      <c r="E305" s="123"/>
      <c r="F305" s="123"/>
      <c r="G305" s="123"/>
      <c r="H305" s="123"/>
      <c r="I305" s="123"/>
      <c r="J305" s="123"/>
      <c r="K305" s="124"/>
    </row>
    <row r="306" spans="2:11" ht="13.5">
      <c r="B306" s="122" t="s">
        <v>733</v>
      </c>
      <c r="C306" s="123"/>
      <c r="D306" s="123"/>
      <c r="E306" s="123"/>
      <c r="F306" s="123"/>
      <c r="G306" s="123"/>
      <c r="H306" s="123"/>
      <c r="I306" s="123"/>
      <c r="J306" s="123"/>
      <c r="K306" s="124"/>
    </row>
    <row r="307" spans="2:11" ht="13.5">
      <c r="B307" s="122"/>
      <c r="C307" s="123"/>
      <c r="D307" s="123"/>
      <c r="E307" s="123"/>
      <c r="F307" s="123"/>
      <c r="G307" s="123"/>
      <c r="H307" s="123"/>
      <c r="I307" s="123"/>
      <c r="J307" s="123"/>
      <c r="K307" s="124"/>
    </row>
    <row r="308" spans="2:11" ht="13.5">
      <c r="B308" s="122" t="s">
        <v>718</v>
      </c>
      <c r="C308" s="123"/>
      <c r="D308" s="123"/>
      <c r="E308" s="123"/>
      <c r="F308" s="123"/>
      <c r="G308" s="123"/>
      <c r="H308" s="123"/>
      <c r="I308" s="123"/>
      <c r="J308" s="123"/>
      <c r="K308" s="124"/>
    </row>
    <row r="309" spans="2:11" ht="13.5">
      <c r="B309" s="129" t="s">
        <v>719</v>
      </c>
      <c r="C309" s="123"/>
      <c r="D309" s="123"/>
      <c r="E309" s="123"/>
      <c r="F309" s="123"/>
      <c r="G309" s="123"/>
      <c r="H309" s="123"/>
      <c r="I309" s="123"/>
      <c r="J309" s="123"/>
      <c r="K309" s="124"/>
    </row>
    <row r="310" spans="2:11" ht="13.5">
      <c r="B310" s="122" t="s">
        <v>720</v>
      </c>
      <c r="C310" s="123"/>
      <c r="D310" s="123"/>
      <c r="E310" s="123"/>
      <c r="F310" s="123"/>
      <c r="G310" s="123"/>
      <c r="H310" s="123"/>
      <c r="I310" s="123"/>
      <c r="J310" s="123"/>
      <c r="K310" s="124"/>
    </row>
    <row r="311" spans="2:11" ht="13.5">
      <c r="B311" s="122" t="s">
        <v>721</v>
      </c>
      <c r="C311" s="123"/>
      <c r="D311" s="123"/>
      <c r="E311" s="123"/>
      <c r="F311" s="123"/>
      <c r="G311" s="123"/>
      <c r="H311" s="123"/>
      <c r="I311" s="123"/>
      <c r="J311" s="123"/>
      <c r="K311" s="124"/>
    </row>
    <row r="312" spans="2:11" ht="13.5">
      <c r="B312" s="122" t="s">
        <v>722</v>
      </c>
      <c r="C312" s="123"/>
      <c r="D312" s="123"/>
      <c r="E312" s="123"/>
      <c r="F312" s="123"/>
      <c r="G312" s="123"/>
      <c r="H312" s="123"/>
      <c r="I312" s="123"/>
      <c r="J312" s="123"/>
      <c r="K312" s="124"/>
    </row>
    <row r="313" spans="2:11" ht="13.5">
      <c r="B313" s="122" t="s">
        <v>723</v>
      </c>
      <c r="C313" s="123"/>
      <c r="D313" s="123"/>
      <c r="E313" s="123"/>
      <c r="F313" s="123"/>
      <c r="G313" s="123"/>
      <c r="H313" s="123"/>
      <c r="I313" s="123"/>
      <c r="J313" s="123"/>
      <c r="K313" s="124"/>
    </row>
    <row r="314" spans="2:11" ht="13.5">
      <c r="B314" s="122"/>
      <c r="C314" s="123"/>
      <c r="D314" s="123"/>
      <c r="E314" s="123"/>
      <c r="F314" s="123"/>
      <c r="G314" s="123"/>
      <c r="H314" s="123"/>
      <c r="I314" s="123"/>
      <c r="J314" s="123"/>
      <c r="K314" s="124"/>
    </row>
    <row r="315" spans="2:11" ht="13.5">
      <c r="B315" s="122" t="s">
        <v>559</v>
      </c>
      <c r="C315" s="123"/>
      <c r="D315" s="123"/>
      <c r="E315" s="123"/>
      <c r="F315" s="123"/>
      <c r="G315" s="123"/>
      <c r="H315" s="123"/>
      <c r="I315" s="123"/>
      <c r="J315" s="123"/>
      <c r="K315" s="124"/>
    </row>
    <row r="316" spans="2:11" ht="13.5">
      <c r="B316" s="129" t="s">
        <v>560</v>
      </c>
      <c r="C316" s="123"/>
      <c r="D316" s="123"/>
      <c r="E316" s="123"/>
      <c r="F316" s="123"/>
      <c r="G316" s="123"/>
      <c r="H316" s="123"/>
      <c r="I316" s="123"/>
      <c r="J316" s="123"/>
      <c r="K316" s="124"/>
    </row>
    <row r="317" spans="2:11" ht="13.5">
      <c r="B317" s="122" t="s">
        <v>561</v>
      </c>
      <c r="C317" s="123"/>
      <c r="D317" s="123"/>
      <c r="E317" s="123"/>
      <c r="F317" s="123"/>
      <c r="G317" s="123"/>
      <c r="H317" s="123"/>
      <c r="I317" s="123"/>
      <c r="J317" s="123"/>
      <c r="K317" s="124"/>
    </row>
    <row r="318" spans="2:11" ht="13.5">
      <c r="B318" s="122" t="s">
        <v>585</v>
      </c>
      <c r="C318" s="123"/>
      <c r="D318" s="123"/>
      <c r="E318" s="123"/>
      <c r="F318" s="123"/>
      <c r="G318" s="123"/>
      <c r="H318" s="123"/>
      <c r="I318" s="123"/>
      <c r="J318" s="123"/>
      <c r="K318" s="124"/>
    </row>
    <row r="319" spans="2:11" ht="13.5">
      <c r="B319" s="122" t="s">
        <v>584</v>
      </c>
      <c r="C319" s="123"/>
      <c r="D319" s="123"/>
      <c r="E319" s="123"/>
      <c r="F319" s="123"/>
      <c r="G319" s="123"/>
      <c r="H319" s="123"/>
      <c r="I319" s="123"/>
      <c r="J319" s="123"/>
      <c r="K319" s="124"/>
    </row>
    <row r="320" spans="2:11" ht="13.5">
      <c r="B320" s="122"/>
      <c r="C320" s="123"/>
      <c r="D320" s="123"/>
      <c r="E320" s="123"/>
      <c r="F320" s="123"/>
      <c r="G320" s="123"/>
      <c r="H320" s="123"/>
      <c r="I320" s="123"/>
      <c r="J320" s="123"/>
      <c r="K320" s="124"/>
    </row>
    <row r="321" spans="2:11" ht="13.5">
      <c r="B321" s="122" t="s">
        <v>501</v>
      </c>
      <c r="C321" s="123"/>
      <c r="D321" s="123"/>
      <c r="E321" s="123"/>
      <c r="F321" s="123"/>
      <c r="G321" s="123"/>
      <c r="H321" s="123"/>
      <c r="I321" s="123"/>
      <c r="J321" s="123"/>
      <c r="K321" s="124"/>
    </row>
    <row r="322" spans="2:11" ht="13.5">
      <c r="B322" s="129" t="s">
        <v>502</v>
      </c>
      <c r="C322" s="123"/>
      <c r="D322" s="123"/>
      <c r="E322" s="123"/>
      <c r="F322" s="123"/>
      <c r="G322" s="123"/>
      <c r="H322" s="123"/>
      <c r="I322" s="123"/>
      <c r="J322" s="123"/>
      <c r="K322" s="124"/>
    </row>
    <row r="323" spans="2:11" ht="13.5">
      <c r="B323" s="130" t="s">
        <v>493</v>
      </c>
      <c r="C323" s="123"/>
      <c r="D323" s="123"/>
      <c r="E323" s="123"/>
      <c r="F323" s="123"/>
      <c r="G323" s="123"/>
      <c r="H323" s="123"/>
      <c r="I323" s="123"/>
      <c r="J323" s="123"/>
      <c r="K323" s="124"/>
    </row>
    <row r="324" spans="2:11" ht="13.5">
      <c r="B324" s="130" t="s">
        <v>494</v>
      </c>
      <c r="C324" s="123"/>
      <c r="D324" s="123"/>
      <c r="E324" s="123"/>
      <c r="F324" s="123"/>
      <c r="G324" s="123"/>
      <c r="H324" s="123"/>
      <c r="I324" s="123"/>
      <c r="J324" s="123"/>
      <c r="K324" s="124"/>
    </row>
    <row r="325" spans="2:11" ht="13.5">
      <c r="B325" s="129"/>
      <c r="C325" s="123"/>
      <c r="D325" s="123"/>
      <c r="E325" s="123"/>
      <c r="F325" s="123"/>
      <c r="G325" s="123"/>
      <c r="H325" s="123"/>
      <c r="I325" s="123"/>
      <c r="J325" s="123"/>
      <c r="K325" s="124"/>
    </row>
    <row r="326" spans="2:11" ht="13.5">
      <c r="B326" s="129" t="s">
        <v>503</v>
      </c>
      <c r="C326" s="123"/>
      <c r="D326" s="123"/>
      <c r="E326" s="123"/>
      <c r="F326" s="123"/>
      <c r="G326" s="123"/>
      <c r="H326" s="123"/>
      <c r="I326" s="123"/>
      <c r="J326" s="123"/>
      <c r="K326" s="124"/>
    </row>
    <row r="327" spans="2:11" ht="13.5">
      <c r="B327" s="129" t="s">
        <v>504</v>
      </c>
      <c r="C327" s="123"/>
      <c r="D327" s="123"/>
      <c r="E327" s="123"/>
      <c r="F327" s="123"/>
      <c r="G327" s="123"/>
      <c r="H327" s="123"/>
      <c r="I327" s="123"/>
      <c r="J327" s="123"/>
      <c r="K327" s="124"/>
    </row>
    <row r="328" spans="2:11" ht="13.5">
      <c r="B328" s="130" t="s">
        <v>495</v>
      </c>
      <c r="C328" s="123"/>
      <c r="D328" s="123"/>
      <c r="E328" s="123"/>
      <c r="F328" s="123"/>
      <c r="G328" s="123"/>
      <c r="H328" s="123"/>
      <c r="I328" s="123"/>
      <c r="J328" s="123"/>
      <c r="K328" s="124"/>
    </row>
    <row r="329" spans="2:11" ht="13.5">
      <c r="B329" s="130"/>
      <c r="C329" s="123"/>
      <c r="D329" s="123"/>
      <c r="E329" s="123"/>
      <c r="F329" s="123"/>
      <c r="G329" s="123"/>
      <c r="H329" s="123"/>
      <c r="I329" s="123"/>
      <c r="J329" s="123"/>
      <c r="K329" s="124"/>
    </row>
    <row r="330" spans="2:11" ht="14.25" thickBot="1">
      <c r="B330" s="131"/>
      <c r="C330" s="132"/>
      <c r="D330" s="132"/>
      <c r="E330" s="132"/>
      <c r="F330" s="132"/>
      <c r="G330" s="132"/>
      <c r="H330" s="132"/>
      <c r="I330" s="132"/>
      <c r="J330" s="132"/>
      <c r="K330" s="133"/>
    </row>
  </sheetData>
  <sheetProtection password="CCE3" sheet="1" objects="1" scenarios="1" selectLockedCells="1"/>
  <mergeCells count="14">
    <mergeCell ref="M2:W2"/>
    <mergeCell ref="B2:K2"/>
    <mergeCell ref="B3:K3"/>
    <mergeCell ref="B7:K7"/>
    <mergeCell ref="M98:W98"/>
    <mergeCell ref="M99:W99"/>
    <mergeCell ref="B8:K8"/>
    <mergeCell ref="B9:K9"/>
    <mergeCell ref="B11:K11"/>
    <mergeCell ref="B12:K12"/>
    <mergeCell ref="B45:K45"/>
    <mergeCell ref="B14:K14"/>
    <mergeCell ref="B18:K18"/>
    <mergeCell ref="B17:K17"/>
  </mergeCells>
  <hyperlinks>
    <hyperlink ref="D81" r:id="rId1" display="f2d_10l@hotmail.com"/>
  </hyperlinks>
  <printOptions/>
  <pageMargins left="0.75" right="0.75" top="1" bottom="1" header="0.512" footer="0.512"/>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AB67"/>
  <sheetViews>
    <sheetView workbookViewId="0" topLeftCell="A19">
      <selection activeCell="A1" sqref="A1"/>
    </sheetView>
  </sheetViews>
  <sheetFormatPr defaultColWidth="9.00390625" defaultRowHeight="13.5"/>
  <cols>
    <col min="1" max="1" width="2.625" style="0" customWidth="1"/>
    <col min="2" max="11" width="5.625" style="0" customWidth="1"/>
    <col min="12" max="13" width="2.625" style="0" customWidth="1"/>
    <col min="22" max="22" width="2.625" style="0" customWidth="1"/>
  </cols>
  <sheetData>
    <row r="1" spans="6:16" ht="24.75" thickBot="1">
      <c r="F1" s="1223" t="s">
        <v>424</v>
      </c>
      <c r="G1" s="1223"/>
      <c r="H1" s="1223"/>
      <c r="I1" s="1223"/>
      <c r="J1" s="1223"/>
      <c r="K1" s="1223"/>
      <c r="L1" s="1223"/>
      <c r="M1" s="1223"/>
      <c r="N1" s="1223"/>
      <c r="O1" s="1223"/>
      <c r="P1" s="1223"/>
    </row>
    <row r="2" spans="2:24" ht="14.25" thickBot="1">
      <c r="B2" s="1153" t="s">
        <v>430</v>
      </c>
      <c r="C2" s="1154"/>
      <c r="D2" s="2">
        <v>150</v>
      </c>
      <c r="E2" s="1"/>
      <c r="F2" s="3" t="s">
        <v>325</v>
      </c>
      <c r="G2" s="3" t="s">
        <v>431</v>
      </c>
      <c r="H2" s="3" t="s">
        <v>432</v>
      </c>
      <c r="I2" s="3" t="s">
        <v>84</v>
      </c>
      <c r="J2" s="3" t="s">
        <v>85</v>
      </c>
      <c r="K2" s="25" t="s">
        <v>749</v>
      </c>
      <c r="N2" s="1224" t="s">
        <v>301</v>
      </c>
      <c r="O2" s="1225"/>
      <c r="P2" s="1226"/>
      <c r="R2" s="1224" t="s">
        <v>737</v>
      </c>
      <c r="S2" s="1225"/>
      <c r="T2" s="1226"/>
      <c r="U2" s="96"/>
      <c r="W2" s="1405" t="s">
        <v>93</v>
      </c>
      <c r="X2" s="1406"/>
    </row>
    <row r="3" spans="2:24" ht="14.25" thickBot="1">
      <c r="B3" s="5" t="s">
        <v>241</v>
      </c>
      <c r="C3" s="536"/>
      <c r="D3" s="6">
        <f>((D2-1)*5+IF(D2&gt;=120,35,IF(D2&gt;=70,30,25)))-(G3+H3+I3+J3)</f>
        <v>0</v>
      </c>
      <c r="E3" s="7" t="s">
        <v>242</v>
      </c>
      <c r="F3" s="8"/>
      <c r="G3" s="8">
        <v>768</v>
      </c>
      <c r="H3" s="8">
        <v>4</v>
      </c>
      <c r="I3" s="8">
        <v>4</v>
      </c>
      <c r="J3" s="8">
        <v>4</v>
      </c>
      <c r="K3" s="9"/>
      <c r="N3" s="10" t="s">
        <v>270</v>
      </c>
      <c r="O3" s="11" t="s">
        <v>271</v>
      </c>
      <c r="P3" s="12" t="s">
        <v>272</v>
      </c>
      <c r="R3" s="70" t="s">
        <v>270</v>
      </c>
      <c r="S3" s="71" t="s">
        <v>271</v>
      </c>
      <c r="T3" s="72" t="s">
        <v>272</v>
      </c>
      <c r="W3" s="1" t="s">
        <v>252</v>
      </c>
      <c r="X3" s="490">
        <f>(D6*20+500)/100</f>
        <v>7</v>
      </c>
    </row>
    <row r="4" spans="2:24" ht="14.25" thickBot="1">
      <c r="B4" s="1145" t="s">
        <v>890</v>
      </c>
      <c r="C4" s="1146"/>
      <c r="D4" s="1146"/>
      <c r="E4" s="7" t="s">
        <v>243</v>
      </c>
      <c r="F4" s="8">
        <v>130</v>
      </c>
      <c r="G4" s="8">
        <v>14</v>
      </c>
      <c r="H4" s="8"/>
      <c r="I4" s="8"/>
      <c r="J4" s="8"/>
      <c r="K4" s="9"/>
      <c r="N4" s="14">
        <f>P4*D23</f>
        <v>11547.350999999999</v>
      </c>
      <c r="O4" s="15">
        <f>(P4+N4)/2</f>
        <v>12188.870499999999</v>
      </c>
      <c r="P4" s="16">
        <f>$Q$4*($F$29+INT(($F$29*($E$32+$K$52+$K$43-1))))/100</f>
        <v>12830.39</v>
      </c>
      <c r="Q4" s="402">
        <f>1.49*(4*$G$29+$H$29)</f>
        <v>5885.5</v>
      </c>
      <c r="R4" s="14">
        <f>N4*$G$48*(1-$G$45/100)</f>
        <v>8660.51325</v>
      </c>
      <c r="S4" s="15">
        <f>O4*$G$48*(1-$G$45/100)</f>
        <v>9141.652875</v>
      </c>
      <c r="T4" s="16">
        <f>P4*$G$48*(1-$G$45/100)</f>
        <v>9622.7925</v>
      </c>
      <c r="W4" s="14" t="s">
        <v>1148</v>
      </c>
      <c r="X4" s="16">
        <f>10-INT(D6/2)</f>
        <v>5</v>
      </c>
    </row>
    <row r="5" spans="2:24" ht="14.25" thickBot="1">
      <c r="B5" s="163" t="s">
        <v>244</v>
      </c>
      <c r="C5" s="397"/>
      <c r="D5" s="224">
        <v>7</v>
      </c>
      <c r="E5" s="7" t="s">
        <v>245</v>
      </c>
      <c r="F5" s="8"/>
      <c r="G5" s="8"/>
      <c r="H5" s="8"/>
      <c r="I5" s="8"/>
      <c r="J5" s="8"/>
      <c r="K5" s="9"/>
      <c r="O5" s="402"/>
      <c r="P5" s="402"/>
      <c r="Q5" s="402"/>
      <c r="R5" s="402"/>
      <c r="S5" s="402"/>
      <c r="W5" s="10" t="s">
        <v>257</v>
      </c>
      <c r="X5" s="711">
        <f>MIN(INT(N4*X3),ReadMe!$M$99)</f>
        <v>80831</v>
      </c>
    </row>
    <row r="6" spans="2:24" ht="14.25" thickBot="1">
      <c r="B6" s="1430" t="s">
        <v>93</v>
      </c>
      <c r="C6" s="1431"/>
      <c r="D6" s="137">
        <v>10</v>
      </c>
      <c r="E6" s="42" t="s">
        <v>246</v>
      </c>
      <c r="F6" s="8"/>
      <c r="G6" s="8">
        <v>10</v>
      </c>
      <c r="H6" s="8">
        <v>16</v>
      </c>
      <c r="I6" s="8">
        <v>10</v>
      </c>
      <c r="J6" s="8">
        <v>10</v>
      </c>
      <c r="K6" s="9">
        <v>22</v>
      </c>
      <c r="N6" s="1158" t="str">
        <f>IF($A$11="true","ドラゴンバスター(ダークフォース時)","ドラゴンバスター")</f>
        <v>ドラゴンバスター(ダークフォース時)</v>
      </c>
      <c r="O6" s="1159"/>
      <c r="P6" s="1159"/>
      <c r="Q6" s="1159"/>
      <c r="R6" s="1159"/>
      <c r="S6" s="1159"/>
      <c r="T6" s="1159"/>
      <c r="U6" s="1160"/>
      <c r="W6" s="7" t="s">
        <v>258</v>
      </c>
      <c r="X6" s="44">
        <f>MIN(INT(O4*X3),ReadMe!$M$99)</f>
        <v>85322</v>
      </c>
    </row>
    <row r="7" spans="2:24" ht="14.25" thickBot="1">
      <c r="B7" s="1415" t="s">
        <v>966</v>
      </c>
      <c r="C7" s="1416"/>
      <c r="D7" s="9">
        <v>1</v>
      </c>
      <c r="E7" s="42" t="s">
        <v>247</v>
      </c>
      <c r="F7" s="8">
        <v>5</v>
      </c>
      <c r="G7" s="8"/>
      <c r="H7" s="8"/>
      <c r="I7" s="8"/>
      <c r="J7" s="8"/>
      <c r="K7" s="9"/>
      <c r="N7" s="23" t="s">
        <v>727</v>
      </c>
      <c r="O7" s="83">
        <v>30</v>
      </c>
      <c r="P7" s="188" t="s">
        <v>252</v>
      </c>
      <c r="Q7" s="75">
        <v>1.7</v>
      </c>
      <c r="R7" s="179" t="s">
        <v>244</v>
      </c>
      <c r="S7" s="82">
        <f>MAX($D$5-$K$39,4)</f>
        <v>7</v>
      </c>
      <c r="T7" s="187" t="s">
        <v>267</v>
      </c>
      <c r="U7" s="83">
        <f>IF($B$4="鉾",IF(S7=4,87,IF(S7=5,80,IF(S7=6,74,IF(S7=7,69,IF(S7=8,64,0))))),IF(S7=4,73,IF(S7=5,69,IF(S7=6,65,IF(S7=7,61,IF(S7=8,57,0))))))</f>
        <v>61</v>
      </c>
      <c r="W7" s="14" t="s">
        <v>259</v>
      </c>
      <c r="X7" s="16">
        <f>MIN(INT(P4*X3),ReadMe!$M$99)</f>
        <v>89812</v>
      </c>
    </row>
    <row r="8" spans="2:21" ht="14.25" thickBot="1">
      <c r="B8" s="980" t="s">
        <v>716</v>
      </c>
      <c r="C8" s="15"/>
      <c r="D8" s="228">
        <v>30</v>
      </c>
      <c r="E8" s="42" t="s">
        <v>248</v>
      </c>
      <c r="F8" s="8">
        <v>2</v>
      </c>
      <c r="G8" s="8"/>
      <c r="H8" s="8">
        <v>2</v>
      </c>
      <c r="I8" s="8"/>
      <c r="J8" s="8"/>
      <c r="K8" s="9">
        <v>7</v>
      </c>
      <c r="N8" s="1227" t="s">
        <v>304</v>
      </c>
      <c r="O8" s="76" t="s">
        <v>257</v>
      </c>
      <c r="P8" s="4">
        <f>MIN(INT($R$4*Q7*IF($A$11="true",(1+$D$10),1)*(1+$B$34+$E$34+$B$52+$K$35)),ReadMe!$M$99)</f>
        <v>23556</v>
      </c>
      <c r="Q8" s="1234" t="s">
        <v>725</v>
      </c>
      <c r="R8" s="186" t="s">
        <v>257</v>
      </c>
      <c r="S8" s="1024">
        <f>MIN(INT(P8*$E$41),ReadMe!$M$99)</f>
        <v>31800</v>
      </c>
      <c r="T8" s="1398" t="s">
        <v>335</v>
      </c>
      <c r="U8" s="1177">
        <f>INT((P9*(1-$G$41))+(S9*$G$41))</f>
        <v>28562</v>
      </c>
    </row>
    <row r="9" spans="2:28" ht="14.25" thickBot="1">
      <c r="B9" s="1432" t="s">
        <v>92</v>
      </c>
      <c r="C9" s="1433"/>
      <c r="D9" s="204">
        <v>30</v>
      </c>
      <c r="E9" s="42" t="s">
        <v>249</v>
      </c>
      <c r="F9" s="8"/>
      <c r="G9" s="8">
        <v>7</v>
      </c>
      <c r="H9" s="8">
        <v>7</v>
      </c>
      <c r="I9" s="8">
        <v>7</v>
      </c>
      <c r="J9" s="8">
        <v>7</v>
      </c>
      <c r="K9" s="9"/>
      <c r="N9" s="1228"/>
      <c r="O9" s="43" t="s">
        <v>258</v>
      </c>
      <c r="P9" s="44">
        <f>INT((P8+P10)/2)</f>
        <v>24864</v>
      </c>
      <c r="Q9" s="1235"/>
      <c r="R9" s="79" t="s">
        <v>258</v>
      </c>
      <c r="S9" s="734">
        <f>MIN(INT(P9*(($E$41+$F$41)/2)),ReadMe!$M$99)</f>
        <v>35431</v>
      </c>
      <c r="T9" s="1399"/>
      <c r="U9" s="1175"/>
      <c r="W9" s="1158" t="s">
        <v>1141</v>
      </c>
      <c r="X9" s="1159"/>
      <c r="Y9" s="1159"/>
      <c r="Z9" s="1159"/>
      <c r="AA9" s="1159"/>
      <c r="AB9" s="1159"/>
    </row>
    <row r="10" spans="1:28" ht="14.25" thickBot="1">
      <c r="A10" s="402" t="b">
        <v>1</v>
      </c>
      <c r="B10" s="1415" t="s">
        <v>1100</v>
      </c>
      <c r="C10" s="1416"/>
      <c r="D10" s="511">
        <f>(D9+30)/100</f>
        <v>0.6</v>
      </c>
      <c r="E10" s="42" t="s">
        <v>250</v>
      </c>
      <c r="F10" s="8"/>
      <c r="G10" s="8"/>
      <c r="H10" s="8">
        <v>6</v>
      </c>
      <c r="I10" s="8"/>
      <c r="J10" s="8"/>
      <c r="K10" s="9"/>
      <c r="N10" s="1229"/>
      <c r="O10" s="15" t="s">
        <v>259</v>
      </c>
      <c r="P10" s="16">
        <f>MIN(INT($T$4*Q7*IF($A$11="true",(1+$D$10),1)*(1+$B$34+$E$34+$B$52+$K$35)),ReadMe!$M$99)</f>
        <v>26173</v>
      </c>
      <c r="Q10" s="1236"/>
      <c r="R10" s="86" t="s">
        <v>259</v>
      </c>
      <c r="S10" s="1025">
        <f>MIN(INT(P10*$F$41),ReadMe!$M$99)</f>
        <v>39259</v>
      </c>
      <c r="T10" s="1400"/>
      <c r="U10" s="1172"/>
      <c r="W10" s="23" t="s">
        <v>238</v>
      </c>
      <c r="X10" s="75">
        <v>0.2</v>
      </c>
      <c r="Y10" s="573" t="s">
        <v>252</v>
      </c>
      <c r="Z10" s="264">
        <v>1.5</v>
      </c>
      <c r="AA10" s="730" t="s">
        <v>330</v>
      </c>
      <c r="AB10" s="601">
        <v>0.4</v>
      </c>
    </row>
    <row r="11" spans="1:28" ht="14.25" thickBot="1">
      <c r="A11" s="402" t="str">
        <f>IF(A10=TRUE,"TRUE",IF(D11=1,"TRUE","FLASE"))</f>
        <v>TRUE</v>
      </c>
      <c r="B11" s="5" t="s">
        <v>820</v>
      </c>
      <c r="C11" s="68"/>
      <c r="D11" s="592"/>
      <c r="E11" s="42" t="s">
        <v>698</v>
      </c>
      <c r="F11" s="8"/>
      <c r="G11" s="8"/>
      <c r="H11" s="8"/>
      <c r="I11" s="8"/>
      <c r="J11" s="8"/>
      <c r="K11" s="9"/>
      <c r="N11" s="1233" t="str">
        <f>IF($A$11="true","4発合計","3発合計")</f>
        <v>4発合計</v>
      </c>
      <c r="O11" s="11" t="s">
        <v>257</v>
      </c>
      <c r="P11" s="12">
        <f>P8*IF($A$11="true",4,3)</f>
        <v>94224</v>
      </c>
      <c r="Q11" s="17" t="s">
        <v>1112</v>
      </c>
      <c r="R11" s="1088">
        <v>1</v>
      </c>
      <c r="S11" s="1391">
        <f>(P12*R11*U7+(U7*0.4*Z14))*G47</f>
        <v>7513784.8</v>
      </c>
      <c r="T11" s="1392"/>
      <c r="U11" s="1393"/>
      <c r="W11" s="1227" t="s">
        <v>304</v>
      </c>
      <c r="X11" s="76" t="s">
        <v>257</v>
      </c>
      <c r="Y11" s="144">
        <f>MIN(INT($R$4*Z10*IF($A$11="true",(1+$D$10),1)*(1+$B$34+$E$34+$B$52+$K$35)),ReadMe!$M$99)</f>
        <v>20785</v>
      </c>
      <c r="Z11" s="1234" t="s">
        <v>725</v>
      </c>
      <c r="AA11" s="87" t="s">
        <v>257</v>
      </c>
      <c r="AB11" s="731">
        <f>MIN(INT(Y11*($E$41-0.15)),ReadMe!$M$99)</f>
        <v>24942</v>
      </c>
    </row>
    <row r="12" spans="2:28" ht="13.5">
      <c r="B12" s="218"/>
      <c r="C12" s="397"/>
      <c r="D12" s="219"/>
      <c r="E12" s="42" t="s">
        <v>587</v>
      </c>
      <c r="F12" s="8"/>
      <c r="G12" s="8">
        <v>20</v>
      </c>
      <c r="H12" s="8">
        <v>3</v>
      </c>
      <c r="I12" s="8"/>
      <c r="J12" s="8"/>
      <c r="K12" s="9">
        <v>5</v>
      </c>
      <c r="N12" s="1163"/>
      <c r="O12" s="261" t="s">
        <v>335</v>
      </c>
      <c r="P12" s="618">
        <f>U8*IF($A$11="true",4,3)</f>
        <v>114248</v>
      </c>
      <c r="Q12" s="557" t="s">
        <v>179</v>
      </c>
      <c r="R12" s="558"/>
      <c r="S12" s="1394"/>
      <c r="T12" s="1173"/>
      <c r="U12" s="1174"/>
      <c r="W12" s="1228"/>
      <c r="X12" s="43" t="s">
        <v>258</v>
      </c>
      <c r="Y12" s="62">
        <f>INT((Y11+Y13)/2)</f>
        <v>21939</v>
      </c>
      <c r="Z12" s="1235"/>
      <c r="AA12" s="79" t="s">
        <v>258</v>
      </c>
      <c r="AB12" s="156">
        <f>MIN(INT(Y12*(($E$41-0.15+$F$41)/2)),ReadMe!$M$99)</f>
        <v>29617</v>
      </c>
    </row>
    <row r="13" spans="2:28" ht="14.25" thickBot="1">
      <c r="B13" s="22"/>
      <c r="C13" s="21"/>
      <c r="D13" s="138"/>
      <c r="E13" s="42" t="s">
        <v>697</v>
      </c>
      <c r="F13" s="8"/>
      <c r="G13" s="8">
        <v>14</v>
      </c>
      <c r="H13" s="8">
        <v>5</v>
      </c>
      <c r="I13" s="8"/>
      <c r="J13" s="8"/>
      <c r="K13" s="9">
        <v>5</v>
      </c>
      <c r="N13" s="1157"/>
      <c r="O13" s="15" t="s">
        <v>259</v>
      </c>
      <c r="P13" s="16">
        <f>S10*IF($A$11="true",4,3)</f>
        <v>157036</v>
      </c>
      <c r="Q13" s="1164" t="s">
        <v>277</v>
      </c>
      <c r="R13" s="1165"/>
      <c r="S13" s="1395"/>
      <c r="T13" s="1170"/>
      <c r="U13" s="1171"/>
      <c r="W13" s="1187"/>
      <c r="X13" s="68" t="s">
        <v>259</v>
      </c>
      <c r="Y13" s="6">
        <f>MIN(INT($T$4*Z10*IF(A11="true",(1+D10),1)*(1+$B$34+$E$34+$B$52+$K$35)),ReadMe!$M$99)</f>
        <v>23094</v>
      </c>
      <c r="Z13" s="1236"/>
      <c r="AA13" s="86" t="s">
        <v>259</v>
      </c>
      <c r="AB13" s="1027">
        <f>MIN(INT(Y13*$F$41),ReadMe!$M$99)</f>
        <v>34641</v>
      </c>
    </row>
    <row r="14" spans="2:28" ht="13.5" customHeight="1" thickBot="1">
      <c r="B14" s="22"/>
      <c r="C14" s="21"/>
      <c r="D14" s="138"/>
      <c r="E14" s="42" t="s">
        <v>260</v>
      </c>
      <c r="F14" s="8"/>
      <c r="G14" s="8">
        <v>8</v>
      </c>
      <c r="H14" s="8">
        <v>13</v>
      </c>
      <c r="I14" s="8"/>
      <c r="J14" s="8"/>
      <c r="K14" s="9">
        <v>5</v>
      </c>
      <c r="W14" s="1407" t="s">
        <v>335</v>
      </c>
      <c r="X14" s="1408"/>
      <c r="Y14" s="1408"/>
      <c r="Z14" s="1403">
        <f>INT((Y12*(1-($G$41-0.3)))+(AB12*($G$41-0.3)))</f>
        <v>22322</v>
      </c>
      <c r="AA14" s="1403"/>
      <c r="AB14" s="1404"/>
    </row>
    <row r="15" spans="2:21" ht="14.25" thickBot="1">
      <c r="B15" s="22"/>
      <c r="C15" s="21"/>
      <c r="D15" s="138"/>
      <c r="E15" s="42" t="s">
        <v>261</v>
      </c>
      <c r="F15" s="8">
        <v>15</v>
      </c>
      <c r="G15" s="8"/>
      <c r="H15" s="8"/>
      <c r="I15" s="8"/>
      <c r="J15" s="8"/>
      <c r="K15" s="9"/>
      <c r="N15" s="1158" t="str">
        <f>IF($A$11="true","ドラゴンスラッシャー(ダークフォース時)","ドラゴンスラッシャー")</f>
        <v>ドラゴンスラッシャー(ダークフォース時)</v>
      </c>
      <c r="O15" s="1159"/>
      <c r="P15" s="1159"/>
      <c r="Q15" s="1159"/>
      <c r="R15" s="1159"/>
      <c r="S15" s="1159"/>
      <c r="T15" s="1159"/>
      <c r="U15" s="1160"/>
    </row>
    <row r="16" spans="2:21" ht="14.25" thickBot="1">
      <c r="B16" s="22"/>
      <c r="C16" s="21"/>
      <c r="D16" s="138"/>
      <c r="E16" s="42" t="s">
        <v>262</v>
      </c>
      <c r="F16" s="8">
        <v>4</v>
      </c>
      <c r="G16" s="8"/>
      <c r="H16" s="8">
        <v>8</v>
      </c>
      <c r="I16" s="8"/>
      <c r="J16" s="8"/>
      <c r="K16" s="9"/>
      <c r="N16" s="23" t="s">
        <v>727</v>
      </c>
      <c r="O16" s="83">
        <v>30</v>
      </c>
      <c r="P16" s="19" t="s">
        <v>252</v>
      </c>
      <c r="Q16" s="75">
        <v>4.1</v>
      </c>
      <c r="R16" s="179" t="s">
        <v>244</v>
      </c>
      <c r="S16" s="82">
        <f>S7</f>
        <v>7</v>
      </c>
      <c r="T16" s="187" t="s">
        <v>267</v>
      </c>
      <c r="U16" s="83">
        <f>IF(S16=4,100,IF(S16=5,88,IF(S16=6,84,IF(S16=7,80,IF(S16=8,76,0)))))</f>
        <v>80</v>
      </c>
    </row>
    <row r="17" spans="2:21" ht="13.5">
      <c r="B17" s="22"/>
      <c r="C17" s="21"/>
      <c r="D17" s="138"/>
      <c r="E17" s="42" t="s">
        <v>5</v>
      </c>
      <c r="F17" s="8"/>
      <c r="G17" s="8">
        <v>3</v>
      </c>
      <c r="H17" s="8">
        <v>3</v>
      </c>
      <c r="I17" s="8">
        <v>3</v>
      </c>
      <c r="J17" s="8">
        <v>3</v>
      </c>
      <c r="K17" s="9"/>
      <c r="N17" s="1227" t="s">
        <v>304</v>
      </c>
      <c r="O17" s="76" t="s">
        <v>257</v>
      </c>
      <c r="P17" s="4">
        <f>MIN(INT($R$4*Q16*IF($A$11="true",(1+$D$10),1)*(1+$B$34+$E$34+$B$52+$K$35)),ReadMe!$M$99)</f>
        <v>56812</v>
      </c>
      <c r="Q17" s="1234" t="s">
        <v>725</v>
      </c>
      <c r="R17" s="186" t="s">
        <v>257</v>
      </c>
      <c r="S17" s="1024">
        <f>MIN(INT(P17*$E$41),ReadMe!$M$99)</f>
        <v>76696</v>
      </c>
      <c r="T17" s="1398" t="s">
        <v>335</v>
      </c>
      <c r="U17" s="1177">
        <f>INT((P18*(1-$G$41))+(S18*$G$41))</f>
        <v>68888</v>
      </c>
    </row>
    <row r="18" spans="2:21" ht="13.5">
      <c r="B18" s="22"/>
      <c r="C18" s="21"/>
      <c r="D18" s="138"/>
      <c r="E18" s="42" t="s">
        <v>5</v>
      </c>
      <c r="F18" s="8">
        <v>1</v>
      </c>
      <c r="G18" s="8">
        <v>1</v>
      </c>
      <c r="H18" s="8">
        <v>1</v>
      </c>
      <c r="I18" s="8">
        <v>1</v>
      </c>
      <c r="J18" s="8">
        <v>1</v>
      </c>
      <c r="K18" s="9"/>
      <c r="N18" s="1228"/>
      <c r="O18" s="43" t="s">
        <v>258</v>
      </c>
      <c r="P18" s="44">
        <f>INT((P17+P19)/2)</f>
        <v>59968</v>
      </c>
      <c r="Q18" s="1235"/>
      <c r="R18" s="79" t="s">
        <v>258</v>
      </c>
      <c r="S18" s="734">
        <f>MIN(INT(P18*(($E$41+$F$41)/2)),ReadMe!$M$99)</f>
        <v>85454</v>
      </c>
      <c r="T18" s="1399"/>
      <c r="U18" s="1175"/>
    </row>
    <row r="19" spans="2:21" ht="14.25" thickBot="1">
      <c r="B19" s="22"/>
      <c r="C19" s="21"/>
      <c r="D19" s="138"/>
      <c r="E19" s="42" t="s">
        <v>5</v>
      </c>
      <c r="F19" s="8">
        <v>1</v>
      </c>
      <c r="G19" s="8">
        <v>1</v>
      </c>
      <c r="H19" s="8">
        <v>1</v>
      </c>
      <c r="I19" s="8">
        <v>1</v>
      </c>
      <c r="J19" s="8">
        <v>1</v>
      </c>
      <c r="K19" s="9"/>
      <c r="N19" s="1187"/>
      <c r="O19" s="68" t="s">
        <v>259</v>
      </c>
      <c r="P19" s="56">
        <f>MIN(INT($T$4*Q16*IF(A11="true",(1+D10),1)*(1+$B$34+$E$34+$B$52+$K$35)),ReadMe!$M$99)</f>
        <v>63125</v>
      </c>
      <c r="Q19" s="1409"/>
      <c r="R19" s="249" t="s">
        <v>259</v>
      </c>
      <c r="S19" s="1026">
        <f>MIN(INT(P19*$F$41),ReadMe!$M$99)</f>
        <v>94687</v>
      </c>
      <c r="T19" s="1400"/>
      <c r="U19" s="1172"/>
    </row>
    <row r="20" spans="2:21" ht="14.25" thickBot="1">
      <c r="B20" s="22"/>
      <c r="C20" s="21"/>
      <c r="D20" s="138"/>
      <c r="E20" s="42" t="s">
        <v>5</v>
      </c>
      <c r="F20" s="8"/>
      <c r="G20" s="8"/>
      <c r="H20" s="8"/>
      <c r="I20" s="8"/>
      <c r="J20" s="8"/>
      <c r="K20" s="9"/>
      <c r="N20" s="17" t="s">
        <v>1112</v>
      </c>
      <c r="O20" s="1088">
        <v>1</v>
      </c>
      <c r="P20" s="729" t="s">
        <v>1248</v>
      </c>
      <c r="Q20" s="1089"/>
      <c r="R20" s="1090"/>
      <c r="S20" s="1410">
        <f>(U17*O20*U16+(U16*0.4*Z14))*G47</f>
        <v>6225344</v>
      </c>
      <c r="T20" s="1410"/>
      <c r="U20" s="1411"/>
    </row>
    <row r="21" spans="2:18" ht="14.25" thickBot="1">
      <c r="B21" s="47"/>
      <c r="C21" s="491"/>
      <c r="D21" s="220"/>
      <c r="E21" s="42" t="s">
        <v>1305</v>
      </c>
      <c r="F21" s="8"/>
      <c r="G21" s="8">
        <v>2</v>
      </c>
      <c r="H21" s="8">
        <v>2</v>
      </c>
      <c r="I21" s="8">
        <v>2</v>
      </c>
      <c r="J21" s="8">
        <v>2</v>
      </c>
      <c r="K21" s="9"/>
      <c r="N21" s="278"/>
      <c r="O21" s="278"/>
      <c r="P21" s="278"/>
      <c r="Q21" s="57"/>
      <c r="R21" s="57"/>
    </row>
    <row r="22" spans="2:21" ht="14.25" thickBot="1">
      <c r="B22" s="10" t="s">
        <v>433</v>
      </c>
      <c r="C22" s="552"/>
      <c r="D22" s="204">
        <v>10</v>
      </c>
      <c r="E22" s="42" t="s">
        <v>1307</v>
      </c>
      <c r="F22" s="8"/>
      <c r="G22" s="8">
        <v>3</v>
      </c>
      <c r="H22" s="8">
        <v>3</v>
      </c>
      <c r="I22" s="8">
        <v>3</v>
      </c>
      <c r="J22" s="8">
        <v>3</v>
      </c>
      <c r="K22" s="9"/>
      <c r="N22" s="1158" t="s">
        <v>1147</v>
      </c>
      <c r="O22" s="1159"/>
      <c r="P22" s="1159"/>
      <c r="Q22" s="1159"/>
      <c r="R22" s="1159"/>
      <c r="S22" s="1159"/>
      <c r="T22" s="1159"/>
      <c r="U22" s="1160"/>
    </row>
    <row r="23" spans="2:21" ht="14.25" thickBot="1">
      <c r="B23" s="14" t="s">
        <v>310</v>
      </c>
      <c r="C23" s="538"/>
      <c r="D23" s="28">
        <f>(S35+(D22*2)/100)</f>
        <v>0.8999999999999999</v>
      </c>
      <c r="E23" s="42" t="s">
        <v>181</v>
      </c>
      <c r="F23" s="8"/>
      <c r="G23" s="8"/>
      <c r="H23" s="8"/>
      <c r="I23" s="8"/>
      <c r="J23" s="8"/>
      <c r="K23" s="9"/>
      <c r="N23" s="23" t="s">
        <v>727</v>
      </c>
      <c r="O23" s="83">
        <v>30</v>
      </c>
      <c r="P23" s="19" t="s">
        <v>252</v>
      </c>
      <c r="Q23" s="75">
        <v>6.9</v>
      </c>
      <c r="R23" s="179" t="s">
        <v>244</v>
      </c>
      <c r="S23" s="82">
        <f>S16</f>
        <v>7</v>
      </c>
      <c r="T23" s="187" t="s">
        <v>267</v>
      </c>
      <c r="U23" s="83">
        <f>IF(S16=4,100,IF(S16=5,88,IF(S16=6,84,IF(S16=7,80,IF(S16=8,76,0)))))</f>
        <v>80</v>
      </c>
    </row>
    <row r="24" spans="2:21" ht="13.5">
      <c r="B24" s="944" t="s">
        <v>35</v>
      </c>
      <c r="C24" s="945"/>
      <c r="D24" s="946">
        <v>20</v>
      </c>
      <c r="E24" s="7" t="s">
        <v>13</v>
      </c>
      <c r="F24" s="8"/>
      <c r="G24" s="8"/>
      <c r="H24" s="8"/>
      <c r="I24" s="8"/>
      <c r="J24" s="8"/>
      <c r="K24" s="9"/>
      <c r="N24" s="1227" t="s">
        <v>304</v>
      </c>
      <c r="O24" s="76" t="s">
        <v>257</v>
      </c>
      <c r="P24" s="4">
        <f>MIN(INT($N$4*Q23*IF($A$11="true",(1+$D$10),1)*(1+$B$34+$E$34+$B$52+$K$35)),ReadMe!$M$99)</f>
        <v>127482</v>
      </c>
      <c r="Q24" s="1234" t="s">
        <v>725</v>
      </c>
      <c r="R24" s="186" t="s">
        <v>257</v>
      </c>
      <c r="S24" s="1024">
        <f>MIN(INT(P24*$E$41),ReadMe!$M$99)</f>
        <v>172100</v>
      </c>
      <c r="T24" s="1398" t="s">
        <v>335</v>
      </c>
      <c r="U24" s="1177">
        <f>INT((P25*(1-$G$41))+(S25*$G$41))</f>
        <v>154580</v>
      </c>
    </row>
    <row r="25" spans="2:21" ht="14.25" customHeight="1">
      <c r="B25" s="617" t="s">
        <v>98</v>
      </c>
      <c r="C25" s="933"/>
      <c r="D25" s="41">
        <f>5+3*INT(D24/2)</f>
        <v>35</v>
      </c>
      <c r="E25" s="7" t="s">
        <v>1153</v>
      </c>
      <c r="F25" s="488"/>
      <c r="G25" s="488"/>
      <c r="H25" s="488"/>
      <c r="I25" s="488"/>
      <c r="J25" s="488"/>
      <c r="K25" s="489"/>
      <c r="N25" s="1228"/>
      <c r="O25" s="43" t="s">
        <v>258</v>
      </c>
      <c r="P25" s="44">
        <f>INT((P24+P26)/2)</f>
        <v>134564</v>
      </c>
      <c r="Q25" s="1235"/>
      <c r="R25" s="79" t="s">
        <v>258</v>
      </c>
      <c r="S25" s="734">
        <f>MIN(INT(P25*(($E$41+$F$41)/2)),ReadMe!$M$99)</f>
        <v>191753</v>
      </c>
      <c r="T25" s="1399"/>
      <c r="U25" s="1175"/>
    </row>
    <row r="26" spans="2:21" ht="14.25" thickBot="1">
      <c r="B26" s="14" t="s">
        <v>36</v>
      </c>
      <c r="C26" s="15"/>
      <c r="D26" s="16">
        <f>6*D24</f>
        <v>120</v>
      </c>
      <c r="E26" s="7" t="s">
        <v>715</v>
      </c>
      <c r="F26" s="488"/>
      <c r="G26" s="488"/>
      <c r="H26" s="488"/>
      <c r="I26" s="488"/>
      <c r="J26" s="488"/>
      <c r="K26" s="489"/>
      <c r="N26" s="1187"/>
      <c r="O26" s="68" t="s">
        <v>259</v>
      </c>
      <c r="P26" s="56">
        <f>MIN(INT($P$4*Q23*IF(A11="true",(1+D10),1)*(1+$B$34+$E$34+$B$52+$K$35)),ReadMe!$M$99)</f>
        <v>141647</v>
      </c>
      <c r="Q26" s="1409"/>
      <c r="R26" s="249" t="s">
        <v>259</v>
      </c>
      <c r="S26" s="1026">
        <f>MIN(INT(P26*$F$41),ReadMe!$M$99)</f>
        <v>212470</v>
      </c>
      <c r="T26" s="1400"/>
      <c r="U26" s="1172"/>
    </row>
    <row r="27" spans="2:21" ht="14.25" thickBot="1">
      <c r="B27" s="1428" t="s">
        <v>434</v>
      </c>
      <c r="C27" s="1429"/>
      <c r="D27" s="2">
        <v>9</v>
      </c>
      <c r="E27" s="216" t="s">
        <v>1310</v>
      </c>
      <c r="F27" s="8">
        <v>25</v>
      </c>
      <c r="G27" s="40">
        <f>ROUNDDOWN(G3*D28%,0)</f>
        <v>38</v>
      </c>
      <c r="H27" s="40">
        <f>ROUNDDOWN(H3*D28%,0)</f>
        <v>0</v>
      </c>
      <c r="I27" s="40">
        <f>ROUNDDOWN(I3*D28%,0)</f>
        <v>0</v>
      </c>
      <c r="J27" s="40">
        <f>ROUNDDOWN(J3*D28%,0)</f>
        <v>0</v>
      </c>
      <c r="K27" s="9">
        <v>120</v>
      </c>
      <c r="N27" s="1412" t="s">
        <v>1248</v>
      </c>
      <c r="O27" s="1413"/>
      <c r="P27" s="1413"/>
      <c r="Q27" s="1413"/>
      <c r="R27" s="1414"/>
      <c r="S27" s="1410">
        <f>(U24*U23+(U23*0.4*Z14))*G47</f>
        <v>13080704</v>
      </c>
      <c r="T27" s="1410"/>
      <c r="U27" s="1411"/>
    </row>
    <row r="28" spans="2:11" ht="14.25" thickBot="1">
      <c r="B28" s="14" t="s">
        <v>263</v>
      </c>
      <c r="C28" s="538"/>
      <c r="D28" s="46">
        <f>ROUNDUP(D27/2,0)</f>
        <v>5</v>
      </c>
      <c r="E28" s="7" t="s">
        <v>264</v>
      </c>
      <c r="F28" s="43">
        <f>D29+D25</f>
        <v>35</v>
      </c>
      <c r="G28" s="43">
        <f>SUM(G4:G26)</f>
        <v>83</v>
      </c>
      <c r="H28" s="43">
        <f>SUM(H4:H26)</f>
        <v>70</v>
      </c>
      <c r="I28" s="43">
        <f>SUM(I4:I26)</f>
        <v>27</v>
      </c>
      <c r="J28" s="43">
        <f>SUM(J4:J26)</f>
        <v>27</v>
      </c>
      <c r="K28" s="44">
        <f>SUM(K3:K27)+D29+D26</f>
        <v>284</v>
      </c>
    </row>
    <row r="29" spans="2:19" ht="14.25" thickBot="1">
      <c r="B29" s="17" t="s">
        <v>1378</v>
      </c>
      <c r="C29" s="195"/>
      <c r="D29" s="313">
        <v>0</v>
      </c>
      <c r="E29" s="14" t="s">
        <v>256</v>
      </c>
      <c r="F29" s="48">
        <f>SUM(F4:F28)</f>
        <v>218</v>
      </c>
      <c r="G29" s="48">
        <f>INT((G3+G27+G28)*(1+G32))</f>
        <v>969</v>
      </c>
      <c r="H29" s="48">
        <f>INT((H3+H27+H28)*(1+H32))</f>
        <v>74</v>
      </c>
      <c r="I29" s="48">
        <f>INT((I3+I27+I28)*(1+I32))</f>
        <v>31</v>
      </c>
      <c r="J29" s="48">
        <f>INT((J3+J27+J28)*(1+J32))</f>
        <v>31</v>
      </c>
      <c r="K29" s="547">
        <f>($G$29*0.4+$J$29*0.8+$H$29*1.6+K28)*(1+K32)</f>
        <v>814.8000000000001</v>
      </c>
      <c r="N29" s="1158" t="s">
        <v>965</v>
      </c>
      <c r="O29" s="1159"/>
      <c r="P29" s="1159"/>
      <c r="Q29" s="1159"/>
      <c r="R29" s="1159"/>
      <c r="S29" s="1160"/>
    </row>
    <row r="30" spans="2:19" ht="14.25" thickBot="1">
      <c r="B30" s="1305" t="s">
        <v>981</v>
      </c>
      <c r="C30" s="1306"/>
      <c r="D30" s="1306"/>
      <c r="E30" s="1306"/>
      <c r="F30" s="1306"/>
      <c r="G30" s="1306"/>
      <c r="H30" s="1306"/>
      <c r="I30" s="1306"/>
      <c r="J30" s="1306"/>
      <c r="K30" s="1307"/>
      <c r="N30" s="23" t="s">
        <v>727</v>
      </c>
      <c r="O30" s="83">
        <f>$D$7</f>
        <v>1</v>
      </c>
      <c r="P30" s="19" t="s">
        <v>252</v>
      </c>
      <c r="Q30" s="75">
        <f>(D7*4+130)/100</f>
        <v>1.34</v>
      </c>
      <c r="R30" s="179"/>
      <c r="S30" s="82"/>
    </row>
    <row r="31" spans="2:21" ht="13.5">
      <c r="B31" s="1218" t="s">
        <v>762</v>
      </c>
      <c r="C31" s="1219"/>
      <c r="D31" s="1220"/>
      <c r="E31" s="1308" t="s">
        <v>982</v>
      </c>
      <c r="F31" s="1309"/>
      <c r="G31" s="1" t="s">
        <v>986</v>
      </c>
      <c r="H31" s="3" t="s">
        <v>985</v>
      </c>
      <c r="I31" s="3" t="s">
        <v>984</v>
      </c>
      <c r="J31" s="3" t="s">
        <v>983</v>
      </c>
      <c r="K31" s="4" t="s">
        <v>987</v>
      </c>
      <c r="N31" s="1227" t="s">
        <v>304</v>
      </c>
      <c r="O31" s="76" t="s">
        <v>257</v>
      </c>
      <c r="P31" s="4">
        <f>INT($R$4*Q30*IF($A$11="true",(1+$D$10),1)*(1+$B$34+$E$34+$B$52+$K$35))</f>
        <v>18568</v>
      </c>
      <c r="Q31" s="1234" t="s">
        <v>725</v>
      </c>
      <c r="R31" s="186" t="s">
        <v>257</v>
      </c>
      <c r="S31" s="183">
        <f>INT(P31*($E$41-0.15))</f>
        <v>22281</v>
      </c>
      <c r="T31" s="1221" t="s">
        <v>335</v>
      </c>
      <c r="U31" s="1177">
        <f>INT((P32*(1-($G$41-0.3))+(S32*($G$41-0.3))))</f>
        <v>19941</v>
      </c>
    </row>
    <row r="32" spans="2:21" ht="14.25" thickBot="1">
      <c r="B32" s="1210">
        <v>0</v>
      </c>
      <c r="C32" s="1211"/>
      <c r="D32" s="1212"/>
      <c r="E32" s="1130">
        <v>0</v>
      </c>
      <c r="F32" s="1131"/>
      <c r="G32" s="542">
        <v>0.09</v>
      </c>
      <c r="H32" s="543">
        <v>0</v>
      </c>
      <c r="I32" s="543">
        <v>0</v>
      </c>
      <c r="J32" s="543">
        <v>0</v>
      </c>
      <c r="K32" s="544">
        <v>0</v>
      </c>
      <c r="N32" s="1228"/>
      <c r="O32" s="43" t="s">
        <v>258</v>
      </c>
      <c r="P32" s="44">
        <f>INT((P31+P33)/2)</f>
        <v>19599</v>
      </c>
      <c r="Q32" s="1235"/>
      <c r="R32" s="79" t="s">
        <v>258</v>
      </c>
      <c r="S32" s="734">
        <f>MIN(INT(P32*(($E$41-0.15+$F$41)/2)),ReadMe!$M$99)</f>
        <v>26458</v>
      </c>
      <c r="T32" s="1401"/>
      <c r="U32" s="1175"/>
    </row>
    <row r="33" spans="2:21" ht="13.5" customHeight="1" thickBot="1">
      <c r="B33" s="1221" t="s">
        <v>135</v>
      </c>
      <c r="C33" s="1166"/>
      <c r="D33" s="1177"/>
      <c r="E33" s="1261" t="s">
        <v>877</v>
      </c>
      <c r="F33" s="1262"/>
      <c r="N33" s="1229"/>
      <c r="O33" s="15" t="s">
        <v>259</v>
      </c>
      <c r="P33" s="16">
        <f>INT($T$4*Q30*IF($A$11="true",(1+$D$10),1)*(1+$B$34+$E$34+$B$52+$K$35))</f>
        <v>20631</v>
      </c>
      <c r="Q33" s="1236"/>
      <c r="R33" s="86" t="s">
        <v>259</v>
      </c>
      <c r="S33" s="185">
        <f>INT(P33*$F$41)</f>
        <v>30946</v>
      </c>
      <c r="T33" s="1402"/>
      <c r="U33" s="1172"/>
    </row>
    <row r="34" spans="2:11" ht="14.25" thickBot="1">
      <c r="B34" s="1210">
        <v>0</v>
      </c>
      <c r="C34" s="1222"/>
      <c r="D34" s="1212"/>
      <c r="E34" s="1130">
        <v>0</v>
      </c>
      <c r="F34" s="1131"/>
      <c r="I34" s="1297" t="s">
        <v>1417</v>
      </c>
      <c r="J34" s="1298"/>
      <c r="K34" s="1299"/>
    </row>
    <row r="35" spans="9:19" ht="14.25" thickBot="1">
      <c r="I35" s="14" t="s">
        <v>1410</v>
      </c>
      <c r="J35" s="15"/>
      <c r="K35" s="534">
        <v>0</v>
      </c>
      <c r="N35" s="1237" t="s">
        <v>1405</v>
      </c>
      <c r="O35" s="1238"/>
      <c r="P35" s="1238"/>
      <c r="Q35" s="1239"/>
      <c r="R35" s="465" t="s">
        <v>310</v>
      </c>
      <c r="S35" s="462">
        <v>0.7</v>
      </c>
    </row>
    <row r="36" spans="2:19" ht="14.25" thickBot="1">
      <c r="B36" s="1280" t="s">
        <v>88</v>
      </c>
      <c r="C36" s="1281"/>
      <c r="D36" s="1281"/>
      <c r="E36" s="503" t="s">
        <v>257</v>
      </c>
      <c r="F36" s="19" t="s">
        <v>259</v>
      </c>
      <c r="G36" s="504" t="s">
        <v>1085</v>
      </c>
      <c r="N36" s="1342" t="s">
        <v>1406</v>
      </c>
      <c r="O36" s="1343"/>
      <c r="P36" s="463">
        <v>1</v>
      </c>
      <c r="Q36" s="1181" t="s">
        <v>1334</v>
      </c>
      <c r="R36" s="1182"/>
      <c r="S36" s="313">
        <v>1</v>
      </c>
    </row>
    <row r="37" spans="2:19" ht="14.25" thickBot="1">
      <c r="B37" s="1213" t="s">
        <v>90</v>
      </c>
      <c r="C37" s="1214"/>
      <c r="D37" s="1215"/>
      <c r="E37" s="35">
        <v>1.35</v>
      </c>
      <c r="F37" s="507">
        <v>1.5</v>
      </c>
      <c r="G37" s="241">
        <v>0.35</v>
      </c>
      <c r="I37" s="1256" t="s">
        <v>438</v>
      </c>
      <c r="J37" s="1300"/>
      <c r="K37" s="1301"/>
      <c r="N37" s="1227" t="s">
        <v>304</v>
      </c>
      <c r="O37" s="76" t="s">
        <v>257</v>
      </c>
      <c r="P37" s="4">
        <f>INT($R$4*P36*IF($A$11="true",(1+$D$10),1)*(1+$B$34+$E$34+$B$52+$K$35))</f>
        <v>13856</v>
      </c>
      <c r="Q37" s="1234" t="s">
        <v>725</v>
      </c>
      <c r="R37" s="186" t="s">
        <v>257</v>
      </c>
      <c r="S37" s="731">
        <f>INT(P37*($E$41-0.15))</f>
        <v>16627</v>
      </c>
    </row>
    <row r="38" spans="2:19" ht="14.25" thickBot="1">
      <c r="B38" s="1228" t="s">
        <v>86</v>
      </c>
      <c r="C38" s="1284"/>
      <c r="D38" s="516">
        <v>0</v>
      </c>
      <c r="E38" s="506"/>
      <c r="F38" s="505">
        <f>D38/100</f>
        <v>0</v>
      </c>
      <c r="G38" s="511">
        <f>IF(D38=0,0,(5+ROUNDUP(D38/2,0))/100)</f>
        <v>0</v>
      </c>
      <c r="I38" s="1256" t="s">
        <v>440</v>
      </c>
      <c r="J38" s="1257"/>
      <c r="K38" s="1258"/>
      <c r="N38" s="1228"/>
      <c r="O38" s="43" t="s">
        <v>258</v>
      </c>
      <c r="P38" s="44">
        <f>INT((P37+P39)/2)</f>
        <v>14626</v>
      </c>
      <c r="Q38" s="1235"/>
      <c r="R38" s="79" t="s">
        <v>258</v>
      </c>
      <c r="S38" s="156">
        <f>MIN(INT(P38*(($E$41-0.15+$F$41)/2)),ReadMe!$M$99)</f>
        <v>19745</v>
      </c>
    </row>
    <row r="39" spans="1:19"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9"/>
      <c r="O39" s="15" t="s">
        <v>259</v>
      </c>
      <c r="P39" s="16">
        <f>INT($T$4*P36*IF($A$11="true",(1+$D$10),1)*(1+$B$34+$E$34+$B$52+$K$35))</f>
        <v>15396</v>
      </c>
      <c r="Q39" s="1236"/>
      <c r="R39" s="86" t="s">
        <v>259</v>
      </c>
      <c r="S39" s="1027">
        <f>INT(P39*$F$41)</f>
        <v>23094</v>
      </c>
    </row>
    <row r="40" spans="2:19" ht="14.25" thickBot="1">
      <c r="B40" s="1285" t="s">
        <v>89</v>
      </c>
      <c r="C40" s="1286"/>
      <c r="D40" s="1287"/>
      <c r="E40" s="513">
        <v>0</v>
      </c>
      <c r="F40" s="514">
        <v>0</v>
      </c>
      <c r="G40" s="515">
        <v>0</v>
      </c>
      <c r="N40" s="1302" t="s">
        <v>323</v>
      </c>
      <c r="O40" s="1303"/>
      <c r="P40" s="1304"/>
      <c r="Q40" s="1186">
        <f>INT((P39*(1-$G$41))+(S39*$G$41))</f>
        <v>18090</v>
      </c>
      <c r="R40" s="1178"/>
      <c r="S40" s="1179"/>
    </row>
    <row r="41" spans="2:19" ht="14.25" thickBot="1">
      <c r="B41" s="1290" t="s">
        <v>91</v>
      </c>
      <c r="C41" s="1291"/>
      <c r="D41" s="1292"/>
      <c r="E41" s="508">
        <f>E37+E39+E40</f>
        <v>1.35</v>
      </c>
      <c r="F41" s="509">
        <f>F37+MAX(F38,F39)+F40</f>
        <v>1.5</v>
      </c>
      <c r="G41" s="510">
        <f>G37+MAX(G38,G39)+G40</f>
        <v>0.35</v>
      </c>
      <c r="I41" s="1259" t="s">
        <v>128</v>
      </c>
      <c r="J41" s="1260"/>
      <c r="K41" s="791"/>
      <c r="L41" s="402" t="b">
        <v>0</v>
      </c>
      <c r="M41" s="486" t="str">
        <f>IF(L41=TRUE,"TRUE",IF(K41=1,"TRUE","FLASE"))</f>
        <v>FLASE</v>
      </c>
      <c r="N41" s="1302" t="s">
        <v>726</v>
      </c>
      <c r="O41" s="1303"/>
      <c r="P41" s="1304"/>
      <c r="Q41" s="1186">
        <f>Q40*S36</f>
        <v>18090</v>
      </c>
      <c r="R41" s="1178"/>
      <c r="S41" s="1179"/>
    </row>
    <row r="42" spans="2:11" ht="14.25" thickBot="1">
      <c r="B42" s="1216" t="s">
        <v>331</v>
      </c>
      <c r="C42" s="1199"/>
      <c r="D42" s="1200"/>
      <c r="E42" s="1253">
        <f>(($E$41+$F$41)/2-1)*$G$41+1</f>
        <v>1.14875</v>
      </c>
      <c r="F42" s="1254"/>
      <c r="G42" s="1255"/>
      <c r="I42" s="590" t="s">
        <v>1119</v>
      </c>
      <c r="J42" s="788"/>
      <c r="K42" s="789">
        <v>0</v>
      </c>
    </row>
    <row r="43" spans="9:21" ht="14.25" thickBot="1">
      <c r="I43" s="1251" t="s">
        <v>854</v>
      </c>
      <c r="J43" s="1252"/>
      <c r="K43" s="790">
        <f>IF(M41="true",IF(K42&gt;0,10+ROUNDUP(K42/3,0),10)/100,0)</f>
        <v>0</v>
      </c>
      <c r="L43" s="323"/>
      <c r="M43" s="323"/>
      <c r="N43" s="1158" t="s">
        <v>636</v>
      </c>
      <c r="O43" s="1159"/>
      <c r="P43" s="1159"/>
      <c r="Q43" s="1159"/>
      <c r="R43" s="1376"/>
      <c r="S43" s="1376"/>
      <c r="T43" s="187" t="s">
        <v>267</v>
      </c>
      <c r="U43" s="313">
        <v>80</v>
      </c>
    </row>
    <row r="44" spans="14:21" ht="14.25" thickBot="1">
      <c r="N44" s="23" t="s">
        <v>238</v>
      </c>
      <c r="O44" s="83">
        <v>30</v>
      </c>
      <c r="P44" s="188" t="s">
        <v>252</v>
      </c>
      <c r="Q44" s="679">
        <f>(105+O44)/100</f>
        <v>1.35</v>
      </c>
      <c r="R44" s="17" t="s">
        <v>1092</v>
      </c>
      <c r="S44" s="75">
        <v>0.2</v>
      </c>
      <c r="T44" s="977" t="s">
        <v>244</v>
      </c>
      <c r="U44" s="82">
        <f>MAX($D$5-$K$39,4)</f>
        <v>7</v>
      </c>
    </row>
    <row r="45" spans="2:21" ht="14.25" thickBot="1">
      <c r="B45" s="1282" t="s">
        <v>735</v>
      </c>
      <c r="C45" s="1283"/>
      <c r="D45" s="533">
        <v>125</v>
      </c>
      <c r="E45" s="1249" t="s">
        <v>736</v>
      </c>
      <c r="F45" s="1250"/>
      <c r="G45" s="25">
        <f>IF(D2&gt;D45,0,$D$45-$D$2)</f>
        <v>0</v>
      </c>
      <c r="I45" s="1137" t="s">
        <v>159</v>
      </c>
      <c r="J45" s="1138"/>
      <c r="K45" s="1139"/>
      <c r="N45" s="1227" t="s">
        <v>304</v>
      </c>
      <c r="O45" s="76" t="s">
        <v>257</v>
      </c>
      <c r="P45" s="4">
        <f>MIN(INT(($N$4*G49)*Q44*IF($A$11="true",(1+$D$10),1)*(1+$B$34+$E$34+$B$52+$K$35)),ReadMe!$M$99)</f>
        <v>19953</v>
      </c>
      <c r="Q45" s="1234" t="s">
        <v>497</v>
      </c>
      <c r="R45" s="186" t="s">
        <v>257</v>
      </c>
      <c r="S45" s="731">
        <f>MIN(INT(P45*$E$41),ReadMe!$M$99)</f>
        <v>26936</v>
      </c>
      <c r="T45" s="1396" t="s">
        <v>335</v>
      </c>
      <c r="U45" s="1177">
        <f>INT((P46*(1-$G$41))+(S46*$G$41))</f>
        <v>24193</v>
      </c>
    </row>
    <row r="46" spans="2:21" ht="13.5">
      <c r="B46" s="1242" t="s">
        <v>769</v>
      </c>
      <c r="C46" s="1243"/>
      <c r="D46" s="9">
        <v>12</v>
      </c>
      <c r="E46" s="1242" t="s">
        <v>771</v>
      </c>
      <c r="F46" s="1243"/>
      <c r="G46" s="615">
        <f>IF(G45&gt;0,"-",D46)</f>
        <v>12</v>
      </c>
      <c r="I46" s="416" t="s">
        <v>160</v>
      </c>
      <c r="J46" s="539"/>
      <c r="K46" s="204">
        <v>0</v>
      </c>
      <c r="L46" s="323"/>
      <c r="M46" s="323"/>
      <c r="N46" s="1228"/>
      <c r="O46" s="43" t="s">
        <v>258</v>
      </c>
      <c r="P46" s="44">
        <f>INT((P45+P47)/2)</f>
        <v>21061</v>
      </c>
      <c r="Q46" s="1235"/>
      <c r="R46" s="79" t="s">
        <v>258</v>
      </c>
      <c r="S46" s="156">
        <f>MIN(INT(P46*(($E$41+$F$41)/2)),ReadMe!$M$99)</f>
        <v>30011</v>
      </c>
      <c r="T46" s="1397"/>
      <c r="U46" s="1175"/>
    </row>
    <row r="47" spans="2:21" ht="14.25" thickBot="1">
      <c r="B47" s="1293" t="s">
        <v>734</v>
      </c>
      <c r="C47" s="1294"/>
      <c r="D47" s="9">
        <v>0</v>
      </c>
      <c r="E47" s="1242" t="s">
        <v>770</v>
      </c>
      <c r="F47" s="1243"/>
      <c r="G47" s="511">
        <f>MAX((MIN(100+SQRT($K$29)-SQRT($D$46),100)-2*G45)/100,0)</f>
        <v>1</v>
      </c>
      <c r="I47" s="417" t="s">
        <v>161</v>
      </c>
      <c r="J47" s="540"/>
      <c r="K47" s="418">
        <f>IF(K46&gt;0,(K46+10)/100,0)</f>
        <v>0</v>
      </c>
      <c r="N47" s="1229"/>
      <c r="O47" s="15" t="s">
        <v>259</v>
      </c>
      <c r="P47" s="16">
        <f>MIN(INT(($P$4*$G$49)*Q44*IF($A$11="true",(1+$D$10),1)*(1+$B$34+$E$34+$B$52+$K$35)),ReadMe!$M$99)</f>
        <v>22170</v>
      </c>
      <c r="Q47" s="1236"/>
      <c r="R47" s="86" t="s">
        <v>259</v>
      </c>
      <c r="S47" s="1027">
        <f>MIN(INT(P47*$F$41),ReadMe!$M$99)</f>
        <v>33255</v>
      </c>
      <c r="T47" s="1397"/>
      <c r="U47" s="1172"/>
    </row>
    <row r="48" spans="2:21" ht="14.25" thickBot="1">
      <c r="B48" s="1278" t="s">
        <v>979</v>
      </c>
      <c r="C48" s="1279"/>
      <c r="D48" s="534">
        <v>0.25</v>
      </c>
      <c r="E48" s="1197" t="s">
        <v>980</v>
      </c>
      <c r="F48" s="1198"/>
      <c r="G48" s="28">
        <f>1-(D48-ROUNDUP(D48*(K47+B32),2))</f>
        <v>0.75</v>
      </c>
      <c r="N48" s="1233" t="s">
        <v>299</v>
      </c>
      <c r="O48" s="11" t="s">
        <v>257</v>
      </c>
      <c r="P48" s="12">
        <f>P45*5</f>
        <v>99765</v>
      </c>
      <c r="Q48" s="17" t="s">
        <v>1112</v>
      </c>
      <c r="R48" s="1088">
        <v>1</v>
      </c>
      <c r="S48" s="1391">
        <f>(P49*R48*U43+(U43*0.4*Z14))*G47</f>
        <v>10391504</v>
      </c>
      <c r="T48" s="1392"/>
      <c r="U48" s="1393"/>
    </row>
    <row r="49" spans="4:21" ht="14.25" thickBot="1">
      <c r="D49" s="402">
        <f>$D$47*(1-($K$47+$B$32))</f>
        <v>0</v>
      </c>
      <c r="E49" s="1197" t="s">
        <v>498</v>
      </c>
      <c r="F49" s="1198"/>
      <c r="G49" s="28">
        <f>1-(D48-ROUNDUP(D48*(K47+B32+S44),2))</f>
        <v>0.8</v>
      </c>
      <c r="I49" s="1246" t="s">
        <v>79</v>
      </c>
      <c r="J49" s="1247"/>
      <c r="K49" s="1248"/>
      <c r="L49" s="323"/>
      <c r="M49" s="162"/>
      <c r="N49" s="1163"/>
      <c r="O49" s="261" t="s">
        <v>335</v>
      </c>
      <c r="P49" s="618">
        <f>U45*5</f>
        <v>120965</v>
      </c>
      <c r="Q49" s="557" t="s">
        <v>179</v>
      </c>
      <c r="R49" s="558"/>
      <c r="S49" s="1394"/>
      <c r="T49" s="1173"/>
      <c r="U49" s="1174"/>
    </row>
    <row r="50" spans="2:21" ht="14.25" thickBot="1">
      <c r="B50" s="1153" t="s">
        <v>1084</v>
      </c>
      <c r="C50" s="1133"/>
      <c r="D50" s="1129"/>
      <c r="I50" s="1127" t="s">
        <v>988</v>
      </c>
      <c r="J50" s="1217"/>
      <c r="K50" s="468"/>
      <c r="L50" s="486" t="b">
        <v>0</v>
      </c>
      <c r="M50" s="486" t="str">
        <f>IF(L50=TRUE,"TRUE",IF(K50=1,"TRUE","FLASE"))</f>
        <v>FLASE</v>
      </c>
      <c r="N50" s="1157"/>
      <c r="O50" s="15" t="s">
        <v>259</v>
      </c>
      <c r="P50" s="16">
        <f>S47*5</f>
        <v>166275</v>
      </c>
      <c r="Q50" s="1164" t="s">
        <v>277</v>
      </c>
      <c r="R50" s="1165"/>
      <c r="S50" s="1395"/>
      <c r="T50" s="1170"/>
      <c r="U50" s="1171"/>
    </row>
    <row r="51" spans="1:13" ht="14.25" thickBot="1">
      <c r="A51" s="323"/>
      <c r="B51" s="1187" t="s">
        <v>877</v>
      </c>
      <c r="C51" s="1188"/>
      <c r="D51" s="1189"/>
      <c r="I51" s="1244" t="s">
        <v>989</v>
      </c>
      <c r="J51" s="1245"/>
      <c r="K51" s="469"/>
      <c r="L51" s="486" t="b">
        <v>0</v>
      </c>
      <c r="M51" s="486" t="str">
        <f>IF(L51=TRUE,"TRUE",IF(K51=1,"TRUE","FLASE"))</f>
        <v>FLASE</v>
      </c>
    </row>
    <row r="52" spans="2:13" ht="14.25" thickBot="1">
      <c r="B52" s="1194">
        <v>0</v>
      </c>
      <c r="C52" s="1195"/>
      <c r="D52" s="1196"/>
      <c r="I52" s="1240" t="s">
        <v>854</v>
      </c>
      <c r="J52" s="1241"/>
      <c r="K52" s="206">
        <f>IF(M50="TRUE",1.04,IF(M51="TRUE",1.02,1))</f>
        <v>1</v>
      </c>
      <c r="L52" s="333"/>
      <c r="M52" s="333"/>
    </row>
    <row r="53" ht="14.25" thickBot="1"/>
    <row r="54" spans="2:12" ht="14.25" thickBot="1">
      <c r="B54" s="1201" t="s">
        <v>265</v>
      </c>
      <c r="C54" s="1202"/>
      <c r="D54" s="1202"/>
      <c r="E54" s="1202"/>
      <c r="F54" s="1202"/>
      <c r="G54" s="1202"/>
      <c r="H54" s="1202"/>
      <c r="I54" s="1202"/>
      <c r="J54" s="1202"/>
      <c r="K54" s="1202"/>
      <c r="L54" s="1203"/>
    </row>
    <row r="55" spans="2:12" ht="13.5">
      <c r="B55" s="1191" t="s">
        <v>591</v>
      </c>
      <c r="C55" s="1192"/>
      <c r="D55" s="1192"/>
      <c r="E55" s="1192"/>
      <c r="F55" s="1192"/>
      <c r="G55" s="1192"/>
      <c r="H55" s="1192"/>
      <c r="I55" s="1192"/>
      <c r="J55" s="1192"/>
      <c r="K55" s="1192"/>
      <c r="L55" s="1193"/>
    </row>
    <row r="56" spans="2:12" ht="13.5">
      <c r="B56" s="1207" t="s">
        <v>1319</v>
      </c>
      <c r="C56" s="1208"/>
      <c r="D56" s="1208"/>
      <c r="E56" s="1208"/>
      <c r="F56" s="1208"/>
      <c r="G56" s="1208"/>
      <c r="H56" s="1208"/>
      <c r="I56" s="1208"/>
      <c r="J56" s="1208"/>
      <c r="K56" s="1208"/>
      <c r="L56" s="1209"/>
    </row>
    <row r="57" spans="2:12" ht="13.5">
      <c r="B57" s="1207" t="s">
        <v>592</v>
      </c>
      <c r="C57" s="1208"/>
      <c r="D57" s="1208"/>
      <c r="E57" s="1208"/>
      <c r="F57" s="1208"/>
      <c r="G57" s="1208"/>
      <c r="H57" s="1208"/>
      <c r="I57" s="1208"/>
      <c r="J57" s="1208"/>
      <c r="K57" s="1208"/>
      <c r="L57" s="1209"/>
    </row>
    <row r="58" spans="2:12" ht="13.5">
      <c r="B58" s="1207" t="s">
        <v>640</v>
      </c>
      <c r="C58" s="1208"/>
      <c r="D58" s="1208"/>
      <c r="E58" s="1208"/>
      <c r="F58" s="1208"/>
      <c r="G58" s="1208"/>
      <c r="H58" s="1208"/>
      <c r="I58" s="1208"/>
      <c r="J58" s="1208"/>
      <c r="K58" s="1208"/>
      <c r="L58" s="1209"/>
    </row>
    <row r="59" spans="2:12" ht="13.5">
      <c r="B59" s="1207" t="s">
        <v>642</v>
      </c>
      <c r="C59" s="1208"/>
      <c r="D59" s="1208"/>
      <c r="E59" s="1208"/>
      <c r="F59" s="1208"/>
      <c r="G59" s="1208"/>
      <c r="H59" s="1208"/>
      <c r="I59" s="1208"/>
      <c r="J59" s="1208"/>
      <c r="K59" s="1208"/>
      <c r="L59" s="1209"/>
    </row>
    <row r="60" spans="2:12" ht="13.5">
      <c r="B60" s="1207" t="s">
        <v>1318</v>
      </c>
      <c r="C60" s="1208"/>
      <c r="D60" s="1208"/>
      <c r="E60" s="1208"/>
      <c r="F60" s="1208"/>
      <c r="G60" s="1208"/>
      <c r="H60" s="1208"/>
      <c r="I60" s="1208"/>
      <c r="J60" s="1208"/>
      <c r="K60" s="1208"/>
      <c r="L60" s="1209"/>
    </row>
    <row r="61" spans="2:12" ht="14.25" thickBot="1">
      <c r="B61" s="1204" t="s">
        <v>707</v>
      </c>
      <c r="C61" s="1205"/>
      <c r="D61" s="1205"/>
      <c r="E61" s="1205"/>
      <c r="F61" s="1205"/>
      <c r="G61" s="1205"/>
      <c r="H61" s="1205"/>
      <c r="I61" s="1205"/>
      <c r="J61" s="1205"/>
      <c r="K61" s="1205"/>
      <c r="L61" s="1206"/>
    </row>
    <row r="62" ht="14.25" thickBot="1"/>
    <row r="63" spans="2:12" ht="14.25" thickBot="1">
      <c r="B63" s="1342" t="s">
        <v>701</v>
      </c>
      <c r="C63" s="1420"/>
      <c r="D63" s="1420"/>
      <c r="E63" s="1420"/>
      <c r="F63" s="1420"/>
      <c r="G63" s="1420"/>
      <c r="H63" s="1420"/>
      <c r="I63" s="1420"/>
      <c r="J63" s="1420"/>
      <c r="K63" s="1420"/>
      <c r="L63" s="1421"/>
    </row>
    <row r="64" spans="2:12" ht="13.5">
      <c r="B64" s="1425" t="s">
        <v>829</v>
      </c>
      <c r="C64" s="1426"/>
      <c r="D64" s="1426"/>
      <c r="E64" s="1426"/>
      <c r="F64" s="1426"/>
      <c r="G64" s="1426"/>
      <c r="H64" s="1426"/>
      <c r="I64" s="1426"/>
      <c r="J64" s="1426"/>
      <c r="K64" s="1426"/>
      <c r="L64" s="1427"/>
    </row>
    <row r="65" spans="2:12" ht="13.5">
      <c r="B65" s="1422" t="s">
        <v>830</v>
      </c>
      <c r="C65" s="1423"/>
      <c r="D65" s="1423"/>
      <c r="E65" s="1423"/>
      <c r="F65" s="1423"/>
      <c r="G65" s="1423"/>
      <c r="H65" s="1423"/>
      <c r="I65" s="1423"/>
      <c r="J65" s="1423"/>
      <c r="K65" s="1423"/>
      <c r="L65" s="1424"/>
    </row>
    <row r="66" spans="2:12" ht="13.5">
      <c r="B66" s="1422" t="s">
        <v>828</v>
      </c>
      <c r="C66" s="1423"/>
      <c r="D66" s="1423"/>
      <c r="E66" s="1423"/>
      <c r="F66" s="1423"/>
      <c r="G66" s="1423"/>
      <c r="H66" s="1423"/>
      <c r="I66" s="1423"/>
      <c r="J66" s="1423"/>
      <c r="K66" s="1423"/>
      <c r="L66" s="1424"/>
    </row>
    <row r="67" spans="2:12" ht="14.25" thickBot="1">
      <c r="B67" s="1417" t="s">
        <v>823</v>
      </c>
      <c r="C67" s="1418"/>
      <c r="D67" s="1418"/>
      <c r="E67" s="1418"/>
      <c r="F67" s="1418"/>
      <c r="G67" s="1418"/>
      <c r="H67" s="1418"/>
      <c r="I67" s="1418"/>
      <c r="J67" s="1418"/>
      <c r="K67" s="1418"/>
      <c r="L67" s="1419"/>
    </row>
  </sheetData>
  <sheetProtection/>
  <protectedRanges>
    <protectedRange sqref="D9 F27 D2 D27 D22 K27 D5 F3:K5" name="範囲1"/>
    <protectedRange sqref="D45:D46 D48" name="範囲1_2"/>
    <protectedRange sqref="F6:K26" name="範囲1_2_1"/>
  </protectedRanges>
  <mergeCells count="111">
    <mergeCell ref="B39:C39"/>
    <mergeCell ref="B48:C48"/>
    <mergeCell ref="E42:G42"/>
    <mergeCell ref="B47:C47"/>
    <mergeCell ref="B31:D31"/>
    <mergeCell ref="B58:L58"/>
    <mergeCell ref="B51:D51"/>
    <mergeCell ref="B50:D50"/>
    <mergeCell ref="I52:J52"/>
    <mergeCell ref="B52:D52"/>
    <mergeCell ref="B57:L57"/>
    <mergeCell ref="B56:L56"/>
    <mergeCell ref="E46:F46"/>
    <mergeCell ref="E47:F47"/>
    <mergeCell ref="B55:L55"/>
    <mergeCell ref="B54:L54"/>
    <mergeCell ref="I43:J43"/>
    <mergeCell ref="I45:K45"/>
    <mergeCell ref="B46:C46"/>
    <mergeCell ref="I38:K38"/>
    <mergeCell ref="N43:S43"/>
    <mergeCell ref="U17:U19"/>
    <mergeCell ref="N22:U22"/>
    <mergeCell ref="N17:N19"/>
    <mergeCell ref="Q17:Q19"/>
    <mergeCell ref="I37:K37"/>
    <mergeCell ref="I41:J41"/>
    <mergeCell ref="E34:F34"/>
    <mergeCell ref="B36:D36"/>
    <mergeCell ref="B2:C2"/>
    <mergeCell ref="B27:C27"/>
    <mergeCell ref="B4:D4"/>
    <mergeCell ref="B30:K30"/>
    <mergeCell ref="B6:C6"/>
    <mergeCell ref="B9:C9"/>
    <mergeCell ref="B10:C10"/>
    <mergeCell ref="B34:D34"/>
    <mergeCell ref="B67:L67"/>
    <mergeCell ref="B63:L63"/>
    <mergeCell ref="B65:L65"/>
    <mergeCell ref="N37:N39"/>
    <mergeCell ref="N40:P40"/>
    <mergeCell ref="B40:D40"/>
    <mergeCell ref="B41:D41"/>
    <mergeCell ref="B42:D42"/>
    <mergeCell ref="B66:L66"/>
    <mergeCell ref="B64:L64"/>
    <mergeCell ref="N2:P2"/>
    <mergeCell ref="B33:D33"/>
    <mergeCell ref="E33:F33"/>
    <mergeCell ref="B7:C7"/>
    <mergeCell ref="E31:F31"/>
    <mergeCell ref="B32:D32"/>
    <mergeCell ref="E32:F32"/>
    <mergeCell ref="N15:U15"/>
    <mergeCell ref="S27:U27"/>
    <mergeCell ref="U24:U26"/>
    <mergeCell ref="F1:P1"/>
    <mergeCell ref="N35:Q35"/>
    <mergeCell ref="N36:O36"/>
    <mergeCell ref="N29:S29"/>
    <mergeCell ref="Q31:Q33"/>
    <mergeCell ref="Q24:Q26"/>
    <mergeCell ref="S20:U20"/>
    <mergeCell ref="N27:R27"/>
    <mergeCell ref="R2:T2"/>
    <mergeCell ref="T8:T10"/>
    <mergeCell ref="N6:U6"/>
    <mergeCell ref="N8:N10"/>
    <mergeCell ref="U8:U10"/>
    <mergeCell ref="B60:L60"/>
    <mergeCell ref="I51:J51"/>
    <mergeCell ref="Q8:Q10"/>
    <mergeCell ref="N24:N26"/>
    <mergeCell ref="T17:T19"/>
    <mergeCell ref="N31:N33"/>
    <mergeCell ref="Q41:S41"/>
    <mergeCell ref="W2:X2"/>
    <mergeCell ref="B45:C45"/>
    <mergeCell ref="E45:F45"/>
    <mergeCell ref="B38:C38"/>
    <mergeCell ref="B37:D37"/>
    <mergeCell ref="U31:U33"/>
    <mergeCell ref="Q13:R13"/>
    <mergeCell ref="W14:Y14"/>
    <mergeCell ref="I34:K34"/>
    <mergeCell ref="S11:U13"/>
    <mergeCell ref="Z14:AB14"/>
    <mergeCell ref="W9:AB9"/>
    <mergeCell ref="W11:W13"/>
    <mergeCell ref="Z11:Z13"/>
    <mergeCell ref="N11:N13"/>
    <mergeCell ref="N45:N47"/>
    <mergeCell ref="Q45:Q47"/>
    <mergeCell ref="T45:T47"/>
    <mergeCell ref="Q40:S40"/>
    <mergeCell ref="Q36:R36"/>
    <mergeCell ref="N41:P41"/>
    <mergeCell ref="Q37:Q39"/>
    <mergeCell ref="T24:T26"/>
    <mergeCell ref="T31:T33"/>
    <mergeCell ref="B61:L61"/>
    <mergeCell ref="E49:F49"/>
    <mergeCell ref="E48:F48"/>
    <mergeCell ref="U45:U47"/>
    <mergeCell ref="N48:N50"/>
    <mergeCell ref="S48:U50"/>
    <mergeCell ref="Q50:R50"/>
    <mergeCell ref="I49:K49"/>
    <mergeCell ref="I50:J50"/>
    <mergeCell ref="B59:L59"/>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4.xml><?xml version="1.0" encoding="utf-8"?>
<worksheet xmlns="http://schemas.openxmlformats.org/spreadsheetml/2006/main" xmlns:r="http://schemas.openxmlformats.org/officeDocument/2006/relationships">
  <dimension ref="A1:AA64"/>
  <sheetViews>
    <sheetView workbookViewId="0" topLeftCell="O1">
      <selection activeCell="A1" sqref="A1"/>
    </sheetView>
  </sheetViews>
  <sheetFormatPr defaultColWidth="9.00390625" defaultRowHeight="13.5"/>
  <cols>
    <col min="1" max="1" width="2.625" style="0" customWidth="1"/>
    <col min="2" max="11" width="5.625" style="0" customWidth="1"/>
    <col min="12" max="13" width="2.625" style="0" customWidth="1"/>
    <col min="21" max="21" width="1.625" style="0" customWidth="1"/>
  </cols>
  <sheetData>
    <row r="1" spans="6:16" ht="24.75" thickBot="1">
      <c r="F1" s="1223" t="s">
        <v>435</v>
      </c>
      <c r="G1" s="1223"/>
      <c r="H1" s="1223"/>
      <c r="I1" s="1223"/>
      <c r="J1" s="1223"/>
      <c r="K1" s="1223"/>
      <c r="L1" s="1223"/>
      <c r="M1" s="1223"/>
      <c r="N1" s="1223"/>
      <c r="O1" s="1223"/>
      <c r="P1" s="1223"/>
    </row>
    <row r="2" spans="2:25" ht="14.25" thickBot="1">
      <c r="B2" s="1153" t="s">
        <v>238</v>
      </c>
      <c r="C2" s="1154"/>
      <c r="D2" s="2">
        <v>150</v>
      </c>
      <c r="E2" s="1"/>
      <c r="F2" s="3" t="s">
        <v>325</v>
      </c>
      <c r="G2" s="3" t="s">
        <v>239</v>
      </c>
      <c r="H2" s="3" t="s">
        <v>240</v>
      </c>
      <c r="I2" s="3" t="s">
        <v>84</v>
      </c>
      <c r="J2" s="3" t="s">
        <v>85</v>
      </c>
      <c r="K2" s="25" t="s">
        <v>749</v>
      </c>
      <c r="N2" s="1224" t="s">
        <v>301</v>
      </c>
      <c r="O2" s="1225"/>
      <c r="P2" s="1226"/>
      <c r="R2" s="1149" t="s">
        <v>737</v>
      </c>
      <c r="S2" s="1144"/>
      <c r="T2" s="1140"/>
      <c r="V2" s="1158" t="s">
        <v>1109</v>
      </c>
      <c r="W2" s="1159"/>
      <c r="X2" s="1159"/>
      <c r="Y2" s="1160"/>
    </row>
    <row r="3" spans="2:25" ht="14.25" thickBot="1">
      <c r="B3" s="5" t="s">
        <v>241</v>
      </c>
      <c r="C3" s="536"/>
      <c r="D3" s="6">
        <f>((D2-1)*5+IF(D2&gt;=120,35,IF(D2&gt;=70,30,25)))-(G3+H3+I3+J3)</f>
        <v>0</v>
      </c>
      <c r="E3" s="7" t="s">
        <v>242</v>
      </c>
      <c r="F3" s="8"/>
      <c r="G3" s="8">
        <v>72</v>
      </c>
      <c r="H3" s="8">
        <v>700</v>
      </c>
      <c r="I3" s="8">
        <v>4</v>
      </c>
      <c r="J3" s="8">
        <v>4</v>
      </c>
      <c r="K3" s="9"/>
      <c r="N3" s="10" t="s">
        <v>270</v>
      </c>
      <c r="O3" s="11" t="s">
        <v>271</v>
      </c>
      <c r="P3" s="12" t="s">
        <v>272</v>
      </c>
      <c r="R3" s="1" t="s">
        <v>270</v>
      </c>
      <c r="S3" s="3" t="s">
        <v>271</v>
      </c>
      <c r="T3" s="4" t="s">
        <v>272</v>
      </c>
      <c r="V3" s="51" t="s">
        <v>330</v>
      </c>
      <c r="W3" s="525">
        <f>(2*20)/100</f>
        <v>0.4</v>
      </c>
      <c r="X3" s="52" t="s">
        <v>252</v>
      </c>
      <c r="Y3" s="74">
        <f>(100+5*(20/2))/100</f>
        <v>1.5</v>
      </c>
    </row>
    <row r="4" spans="2:25" ht="14.25" thickBot="1">
      <c r="B4" s="1201" t="s">
        <v>322</v>
      </c>
      <c r="C4" s="1202"/>
      <c r="D4" s="1202"/>
      <c r="E4" s="7" t="s">
        <v>243</v>
      </c>
      <c r="F4" s="8">
        <v>123</v>
      </c>
      <c r="G4" s="8"/>
      <c r="H4" s="8">
        <v>7</v>
      </c>
      <c r="I4" s="8"/>
      <c r="J4" s="8"/>
      <c r="K4" s="9"/>
      <c r="N4" s="14">
        <f>$P$4*$D$26</f>
        <v>8264.52705</v>
      </c>
      <c r="O4" s="15">
        <f>(P4+N4)/2</f>
        <v>8993.750025000001</v>
      </c>
      <c r="P4" s="16">
        <f>$Q$4*($F$29+INT(($F$29*($E$32+$K$52+$K$43-1))))/100</f>
        <v>9722.973</v>
      </c>
      <c r="Q4" s="402">
        <f>1.3*(4*$H$29+$G$29)</f>
        <v>4837.3</v>
      </c>
      <c r="R4" s="14">
        <f>N4*$G$48*(1-$G$45/100)</f>
        <v>6611.621640000001</v>
      </c>
      <c r="S4" s="15">
        <f>O4*$G$48*(1-$G$45/100)</f>
        <v>7195.000020000001</v>
      </c>
      <c r="T4" s="16">
        <f>P4*$G$48*(1-$G$45/100)</f>
        <v>7778.3784000000005</v>
      </c>
      <c r="V4" s="517" t="s">
        <v>1043</v>
      </c>
      <c r="W4" s="527">
        <f>MIN(INT(($R$4*Y3)*(1+$B$34+$E$34+$B$52+$K$35)),ReadMe!$M$99)</f>
        <v>9917</v>
      </c>
      <c r="X4" s="246" t="s">
        <v>976</v>
      </c>
      <c r="Y4" s="155">
        <f>MIN(INT(W4*E41),ReadMe!$M$99)</f>
        <v>13387</v>
      </c>
    </row>
    <row r="5" spans="2:25" ht="14.25" thickBot="1">
      <c r="B5" s="163" t="s">
        <v>244</v>
      </c>
      <c r="C5" s="397"/>
      <c r="D5" s="164">
        <v>6</v>
      </c>
      <c r="E5" s="7" t="s">
        <v>245</v>
      </c>
      <c r="F5" s="8"/>
      <c r="G5" s="8"/>
      <c r="H5" s="8"/>
      <c r="I5" s="8"/>
      <c r="J5" s="8"/>
      <c r="K5" s="9"/>
      <c r="V5" s="272" t="s">
        <v>1044</v>
      </c>
      <c r="W5" s="528">
        <f>INT((W4+W6)/2)</f>
        <v>10792</v>
      </c>
      <c r="X5" s="247" t="s">
        <v>977</v>
      </c>
      <c r="Y5" s="156">
        <f>MIN(INT(W5*(($E$41+$F$41)/2)),ReadMe!$M$99)</f>
        <v>16997</v>
      </c>
    </row>
    <row r="6" spans="2:27" ht="14.25" thickBot="1">
      <c r="B6" s="36" t="s">
        <v>1130</v>
      </c>
      <c r="C6" s="605"/>
      <c r="D6" s="137">
        <v>30</v>
      </c>
      <c r="E6" s="42" t="s">
        <v>246</v>
      </c>
      <c r="F6" s="8"/>
      <c r="G6" s="8">
        <v>10</v>
      </c>
      <c r="H6" s="8">
        <v>20</v>
      </c>
      <c r="I6" s="8">
        <v>10</v>
      </c>
      <c r="J6" s="8">
        <v>10</v>
      </c>
      <c r="K6" s="9">
        <v>10</v>
      </c>
      <c r="O6" s="1158" t="s">
        <v>1130</v>
      </c>
      <c r="P6" s="1159"/>
      <c r="Q6" s="1159"/>
      <c r="R6" s="1159"/>
      <c r="S6" s="1159"/>
      <c r="T6" s="1160"/>
      <c r="V6" s="274" t="s">
        <v>975</v>
      </c>
      <c r="W6" s="529">
        <f>MIN(INT(($T$4*Y3)*(1+$B$34+$E$34+$B$52+$K$35)),ReadMe!$M$99)</f>
        <v>11667</v>
      </c>
      <c r="X6" s="248" t="s">
        <v>978</v>
      </c>
      <c r="Y6" s="157">
        <f>MIN(INT(W6*F41),ReadMe!$M$99)</f>
        <v>21000</v>
      </c>
      <c r="AA6" s="21"/>
    </row>
    <row r="7" spans="2:27" ht="14.25" thickBot="1">
      <c r="B7" s="39" t="s">
        <v>1090</v>
      </c>
      <c r="C7" s="40"/>
      <c r="D7" s="9">
        <v>1</v>
      </c>
      <c r="E7" s="42" t="s">
        <v>247</v>
      </c>
      <c r="F7" s="8">
        <v>5</v>
      </c>
      <c r="G7" s="8"/>
      <c r="H7" s="8"/>
      <c r="I7" s="8"/>
      <c r="J7" s="8"/>
      <c r="K7" s="9"/>
      <c r="O7" s="244" t="s">
        <v>443</v>
      </c>
      <c r="P7" s="202">
        <f>D6</f>
        <v>30</v>
      </c>
      <c r="Q7" s="221" t="s">
        <v>252</v>
      </c>
      <c r="R7" s="530">
        <f>(160+2*D6)/100</f>
        <v>2.2</v>
      </c>
      <c r="S7" s="531" t="s">
        <v>326</v>
      </c>
      <c r="T7" s="532">
        <v>500</v>
      </c>
      <c r="V7" s="1493" t="s">
        <v>445</v>
      </c>
      <c r="W7" s="1494"/>
      <c r="X7" s="1495">
        <f>INT(W5*(1-G41)+Y5*G41)</f>
        <v>14825</v>
      </c>
      <c r="Y7" s="1496"/>
      <c r="Z7" s="526"/>
      <c r="AA7" s="526"/>
    </row>
    <row r="8" spans="2:20" ht="13.5" customHeight="1" thickBot="1">
      <c r="B8" s="982" t="s">
        <v>1239</v>
      </c>
      <c r="C8" s="761"/>
      <c r="D8" s="279">
        <v>20</v>
      </c>
      <c r="E8" s="42" t="s">
        <v>248</v>
      </c>
      <c r="F8" s="8">
        <v>2</v>
      </c>
      <c r="G8" s="8"/>
      <c r="H8" s="8">
        <v>2</v>
      </c>
      <c r="I8" s="8"/>
      <c r="J8" s="8"/>
      <c r="K8" s="9">
        <v>7</v>
      </c>
      <c r="O8" s="1227" t="s">
        <v>327</v>
      </c>
      <c r="P8" s="84" t="s">
        <v>257</v>
      </c>
      <c r="Q8" s="521">
        <f>MIN(INT(($R$4*R7)*(1+$B$34+$E$34+$B$52+$K$35)),ReadMe!$M$99)</f>
        <v>14545</v>
      </c>
      <c r="R8" s="1453" t="s">
        <v>444</v>
      </c>
      <c r="S8" s="93" t="s">
        <v>257</v>
      </c>
      <c r="T8" s="155">
        <f>MIN(INT(Q8*E41),ReadMe!$M$99)</f>
        <v>19635</v>
      </c>
    </row>
    <row r="9" spans="2:20" ht="14.25" thickBot="1">
      <c r="B9" s="218"/>
      <c r="C9" s="397"/>
      <c r="D9" s="219"/>
      <c r="E9" s="42" t="s">
        <v>249</v>
      </c>
      <c r="F9" s="8"/>
      <c r="G9" s="8">
        <v>7</v>
      </c>
      <c r="H9" s="8">
        <v>7</v>
      </c>
      <c r="I9" s="8">
        <v>7</v>
      </c>
      <c r="J9" s="8">
        <v>7</v>
      </c>
      <c r="K9" s="9"/>
      <c r="O9" s="1228"/>
      <c r="P9" s="91" t="s">
        <v>258</v>
      </c>
      <c r="Q9" s="522">
        <f>INT((Q8+Q10)/2)</f>
        <v>15828</v>
      </c>
      <c r="R9" s="1454"/>
      <c r="S9" s="94" t="s">
        <v>258</v>
      </c>
      <c r="T9" s="156">
        <f>MIN(INT(Q9*(($E$41+$F$41)/2)),ReadMe!$M$99)</f>
        <v>24929</v>
      </c>
    </row>
    <row r="10" spans="2:27" ht="14.25" thickBot="1">
      <c r="B10" s="22"/>
      <c r="C10" s="21"/>
      <c r="D10" s="138"/>
      <c r="E10" s="42" t="s">
        <v>250</v>
      </c>
      <c r="F10" s="8"/>
      <c r="G10" s="8"/>
      <c r="H10" s="8">
        <v>10</v>
      </c>
      <c r="I10" s="8"/>
      <c r="J10" s="8"/>
      <c r="K10" s="9"/>
      <c r="O10" s="1229"/>
      <c r="P10" s="92" t="s">
        <v>329</v>
      </c>
      <c r="Q10" s="523">
        <f>MIN(INT(($T$4*R7)*(1+$B$34+$E$34+$B$52+$K$35)),ReadMe!$M$99)</f>
        <v>17112</v>
      </c>
      <c r="R10" s="1455"/>
      <c r="S10" s="95" t="s">
        <v>329</v>
      </c>
      <c r="T10" s="157">
        <f>MIN(INT(Q10*F41),ReadMe!$M$99)</f>
        <v>30801</v>
      </c>
      <c r="V10" s="1158" t="s">
        <v>1134</v>
      </c>
      <c r="W10" s="1159"/>
      <c r="X10" s="1159"/>
      <c r="Y10" s="1159"/>
      <c r="Z10" s="1159"/>
      <c r="AA10" s="1160"/>
    </row>
    <row r="11" spans="2:27" ht="14.25" thickBot="1">
      <c r="B11" s="22"/>
      <c r="C11" s="21"/>
      <c r="D11" s="138"/>
      <c r="E11" s="42" t="s">
        <v>698</v>
      </c>
      <c r="F11" s="8"/>
      <c r="G11" s="8">
        <v>10</v>
      </c>
      <c r="H11" s="8">
        <v>20</v>
      </c>
      <c r="I11" s="8"/>
      <c r="J11" s="8"/>
      <c r="K11" s="9">
        <v>11</v>
      </c>
      <c r="O11" s="1490" t="s">
        <v>445</v>
      </c>
      <c r="P11" s="1491"/>
      <c r="Q11" s="1492"/>
      <c r="R11" s="1436">
        <f>INT(Q9*(1-$G$41)+T9*$G$41)</f>
        <v>21743</v>
      </c>
      <c r="S11" s="1436"/>
      <c r="T11" s="1437"/>
      <c r="V11" s="1497" t="s">
        <v>1131</v>
      </c>
      <c r="W11" s="1498"/>
      <c r="X11" s="1497" t="s">
        <v>1132</v>
      </c>
      <c r="Y11" s="1499"/>
      <c r="Z11" s="1498" t="s">
        <v>1133</v>
      </c>
      <c r="AA11" s="1499"/>
    </row>
    <row r="12" spans="2:27" ht="14.25" thickBot="1">
      <c r="B12" s="22"/>
      <c r="C12" s="21"/>
      <c r="D12" s="138"/>
      <c r="E12" s="42" t="s">
        <v>587</v>
      </c>
      <c r="F12" s="8"/>
      <c r="G12" s="8"/>
      <c r="H12" s="8"/>
      <c r="I12" s="8"/>
      <c r="J12" s="8"/>
      <c r="K12" s="9"/>
      <c r="N12" s="402">
        <f>INT(T7*$W$3)*$X$7</f>
        <v>2965000</v>
      </c>
      <c r="O12" s="1342" t="s">
        <v>974</v>
      </c>
      <c r="P12" s="1420"/>
      <c r="Q12" s="1421"/>
      <c r="R12" s="1477">
        <f>(R11*T7+N12)*G47</f>
        <v>13836500</v>
      </c>
      <c r="S12" s="1478"/>
      <c r="T12" s="1479"/>
      <c r="V12" s="1475">
        <f>INT($R$12-($R$11*8.5*$Q$52+8.5*$W$3*$X$7))+P54*$T$52</f>
        <v>13872830</v>
      </c>
      <c r="W12" s="1476"/>
      <c r="X12" s="1475">
        <f>INT($R$12-($R$11*8.5*$Q$52+8.5*$W$3*$X$7))+R54*$T$52</f>
        <v>14066190</v>
      </c>
      <c r="Y12" s="1476"/>
      <c r="Z12" s="1475">
        <f>INT($R$12-($R$11*8.5*$Q$52+8.5*$W$3*$X$7))+T54*$T$52</f>
        <v>14259550</v>
      </c>
      <c r="AA12" s="1476"/>
    </row>
    <row r="13" spans="2:15" ht="14.25" thickBot="1">
      <c r="B13" s="22"/>
      <c r="C13" s="21"/>
      <c r="D13" s="138"/>
      <c r="E13" s="42" t="s">
        <v>697</v>
      </c>
      <c r="F13" s="8"/>
      <c r="G13" s="8"/>
      <c r="H13" s="8"/>
      <c r="I13" s="8"/>
      <c r="J13" s="8"/>
      <c r="K13" s="9"/>
      <c r="O13" t="s">
        <v>1237</v>
      </c>
    </row>
    <row r="14" spans="2:20" ht="14.25" thickBot="1">
      <c r="B14" s="22"/>
      <c r="C14" s="21"/>
      <c r="D14" s="138"/>
      <c r="E14" s="42" t="s">
        <v>260</v>
      </c>
      <c r="F14" s="8"/>
      <c r="G14" s="8">
        <v>5</v>
      </c>
      <c r="H14" s="8">
        <v>14</v>
      </c>
      <c r="I14" s="8"/>
      <c r="J14" s="8"/>
      <c r="K14" s="9"/>
      <c r="O14" s="1158" t="s">
        <v>436</v>
      </c>
      <c r="P14" s="1159"/>
      <c r="Q14" s="1159"/>
      <c r="R14" s="1159"/>
      <c r="S14" s="282" t="s">
        <v>252</v>
      </c>
      <c r="T14" s="283">
        <f>(120+2*30)/100</f>
        <v>1.8</v>
      </c>
    </row>
    <row r="15" spans="2:21" ht="13.5">
      <c r="B15" s="22"/>
      <c r="C15" s="21"/>
      <c r="D15" s="138"/>
      <c r="E15" s="42" t="s">
        <v>261</v>
      </c>
      <c r="F15" s="8">
        <v>15</v>
      </c>
      <c r="G15" s="8"/>
      <c r="H15" s="8"/>
      <c r="I15" s="8"/>
      <c r="J15" s="8"/>
      <c r="K15" s="9"/>
      <c r="O15" s="1227" t="s">
        <v>304</v>
      </c>
      <c r="P15" s="76" t="s">
        <v>257</v>
      </c>
      <c r="Q15" s="521">
        <f>MIN(INT(($R$4*T14)*(1+$B$34+$E$34+$B$52+$K$35)),ReadMe!$M$99)</f>
        <v>11900</v>
      </c>
      <c r="R15" s="1447" t="s">
        <v>549</v>
      </c>
      <c r="S15" s="87" t="s">
        <v>257</v>
      </c>
      <c r="T15" s="519">
        <f>MIN(INT(Q15*$E$41),ReadMe!$M$99)</f>
        <v>16065</v>
      </c>
      <c r="U15" s="627"/>
    </row>
    <row r="16" spans="2:20" ht="13.5">
      <c r="B16" s="22"/>
      <c r="C16" s="21"/>
      <c r="D16" s="138"/>
      <c r="E16" s="42" t="s">
        <v>262</v>
      </c>
      <c r="F16" s="8">
        <v>4</v>
      </c>
      <c r="G16" s="8">
        <v>8</v>
      </c>
      <c r="H16" s="8"/>
      <c r="I16" s="8"/>
      <c r="J16" s="8"/>
      <c r="K16" s="9"/>
      <c r="O16" s="1228"/>
      <c r="P16" s="43" t="s">
        <v>258</v>
      </c>
      <c r="Q16" s="522">
        <f>INT((Q15+Q17)/2)</f>
        <v>12950</v>
      </c>
      <c r="R16" s="1448"/>
      <c r="S16" s="79" t="s">
        <v>258</v>
      </c>
      <c r="T16" s="156">
        <f>MIN(INT(Q16*(($E$41+$F$41)/2)),ReadMe!$M$99)</f>
        <v>20396</v>
      </c>
    </row>
    <row r="17" spans="2:20" ht="14.25" thickBot="1">
      <c r="B17" s="594"/>
      <c r="C17" s="117"/>
      <c r="D17" s="599"/>
      <c r="E17" s="42" t="s">
        <v>5</v>
      </c>
      <c r="F17" s="8"/>
      <c r="G17" s="8">
        <v>3</v>
      </c>
      <c r="H17" s="8">
        <v>3</v>
      </c>
      <c r="I17" s="8">
        <v>3</v>
      </c>
      <c r="J17" s="8">
        <v>3</v>
      </c>
      <c r="K17" s="9"/>
      <c r="O17" s="1229"/>
      <c r="P17" s="15" t="s">
        <v>259</v>
      </c>
      <c r="Q17" s="523">
        <f>MIN(INT(($T$4*T14)*(1+$B$34+$E$34+$B$52+$K$35)),ReadMe!$M$99)</f>
        <v>14001</v>
      </c>
      <c r="R17" s="80" t="s">
        <v>309</v>
      </c>
      <c r="S17" s="86" t="s">
        <v>259</v>
      </c>
      <c r="T17" s="520">
        <f>MIN(INT(Q17*$F$41),ReadMe!$M$99)</f>
        <v>25201</v>
      </c>
    </row>
    <row r="18" spans="2:20" ht="14.25" thickBot="1">
      <c r="B18" s="22"/>
      <c r="C18" s="21"/>
      <c r="D18" s="138"/>
      <c r="E18" s="42" t="s">
        <v>5</v>
      </c>
      <c r="F18" s="8">
        <v>1</v>
      </c>
      <c r="G18" s="8">
        <v>1</v>
      </c>
      <c r="H18" s="8">
        <v>1</v>
      </c>
      <c r="I18" s="8">
        <v>1</v>
      </c>
      <c r="J18" s="8">
        <v>1</v>
      </c>
      <c r="K18" s="9"/>
      <c r="O18" s="1451" t="s">
        <v>323</v>
      </c>
      <c r="P18" s="1452"/>
      <c r="Q18" s="1452"/>
      <c r="R18" s="1449">
        <f>INT(Q16*(1-$G$41)+T16*$G$41)</f>
        <v>17789</v>
      </c>
      <c r="S18" s="1449"/>
      <c r="T18" s="1450"/>
    </row>
    <row r="19" spans="2:20" ht="14.25" thickBot="1">
      <c r="B19" s="47"/>
      <c r="C19" s="491"/>
      <c r="D19" s="220"/>
      <c r="E19" s="42" t="s">
        <v>5</v>
      </c>
      <c r="F19" s="8">
        <v>1</v>
      </c>
      <c r="G19" s="8">
        <v>1</v>
      </c>
      <c r="H19" s="8">
        <v>1</v>
      </c>
      <c r="I19" s="8">
        <v>1</v>
      </c>
      <c r="J19" s="8">
        <v>1</v>
      </c>
      <c r="K19" s="9"/>
      <c r="O19" s="1201" t="s">
        <v>251</v>
      </c>
      <c r="P19" s="1202"/>
      <c r="Q19" s="494" t="s">
        <v>257</v>
      </c>
      <c r="R19" s="1480">
        <f>Q15*4</f>
        <v>47600</v>
      </c>
      <c r="S19" s="1481"/>
      <c r="T19" s="1482"/>
    </row>
    <row r="20" spans="2:20" ht="13.5">
      <c r="B20" s="1438" t="s">
        <v>194</v>
      </c>
      <c r="C20" s="1439"/>
      <c r="D20" s="1135">
        <v>10</v>
      </c>
      <c r="E20" s="42" t="s">
        <v>5</v>
      </c>
      <c r="F20" s="8"/>
      <c r="G20" s="8"/>
      <c r="H20" s="8"/>
      <c r="I20" s="8"/>
      <c r="J20" s="8"/>
      <c r="K20" s="9"/>
      <c r="O20" s="1456"/>
      <c r="P20" s="1457"/>
      <c r="Q20" s="495" t="s">
        <v>335</v>
      </c>
      <c r="R20" s="1441">
        <f>R18*4</f>
        <v>71156</v>
      </c>
      <c r="S20" s="1442"/>
      <c r="T20" s="1443"/>
    </row>
    <row r="21" spans="2:20" ht="14.25" thickBot="1">
      <c r="B21" s="1438" t="s">
        <v>195</v>
      </c>
      <c r="C21" s="1439"/>
      <c r="D21" s="1440"/>
      <c r="E21" s="42" t="s">
        <v>1305</v>
      </c>
      <c r="F21" s="8"/>
      <c r="G21" s="8">
        <v>2</v>
      </c>
      <c r="H21" s="8">
        <v>2</v>
      </c>
      <c r="I21" s="8">
        <v>2</v>
      </c>
      <c r="J21" s="8">
        <v>2</v>
      </c>
      <c r="K21" s="9"/>
      <c r="O21" s="1458"/>
      <c r="P21" s="1459"/>
      <c r="Q21" s="524" t="s">
        <v>259</v>
      </c>
      <c r="R21" s="1444">
        <f>T17*4</f>
        <v>100804</v>
      </c>
      <c r="S21" s="1445"/>
      <c r="T21" s="1446"/>
    </row>
    <row r="22" spans="2:23" ht="14.25" thickBot="1">
      <c r="B22" s="1505" t="s">
        <v>1245</v>
      </c>
      <c r="C22" s="1506"/>
      <c r="D22" s="28">
        <f>(D20*2)/100</f>
        <v>0.2</v>
      </c>
      <c r="E22" s="7" t="s">
        <v>1307</v>
      </c>
      <c r="F22" s="8"/>
      <c r="G22" s="8">
        <v>3</v>
      </c>
      <c r="H22" s="8">
        <v>3</v>
      </c>
      <c r="I22" s="8">
        <v>3</v>
      </c>
      <c r="J22" s="8">
        <v>3</v>
      </c>
      <c r="K22" s="9"/>
      <c r="O22" s="1460" t="s">
        <v>244</v>
      </c>
      <c r="P22" s="1461"/>
      <c r="Q22" s="148">
        <f>IF(D5-K39&lt;4,4,D5-K39)</f>
        <v>6</v>
      </c>
      <c r="R22" s="1483" t="s">
        <v>267</v>
      </c>
      <c r="S22" s="1484"/>
      <c r="T22" s="72">
        <f>IF(Q22=4,93,IF(Q22=5,87,IF(Q22=6,83,)))</f>
        <v>83</v>
      </c>
      <c r="W22" s="317"/>
    </row>
    <row r="23" spans="2:20" ht="14.25" thickBot="1">
      <c r="B23" s="1458" t="s">
        <v>324</v>
      </c>
      <c r="C23" s="1500"/>
      <c r="D23" s="69">
        <v>0</v>
      </c>
      <c r="E23" s="7" t="s">
        <v>181</v>
      </c>
      <c r="F23" s="8"/>
      <c r="G23" s="8"/>
      <c r="H23" s="8"/>
      <c r="I23" s="8"/>
      <c r="J23" s="8"/>
      <c r="K23" s="9"/>
      <c r="N23" s="402">
        <f>INT(T22*$W$3)*$X$7</f>
        <v>489225</v>
      </c>
      <c r="O23" s="1342" t="s">
        <v>974</v>
      </c>
      <c r="P23" s="1420"/>
      <c r="Q23" s="1421"/>
      <c r="R23" s="1487">
        <f>(R20*T22+N23)*G47</f>
        <v>6395173</v>
      </c>
      <c r="S23" s="1488"/>
      <c r="T23" s="1488"/>
    </row>
    <row r="24" spans="2:11" ht="14.25" thickBot="1">
      <c r="B24" s="10" t="s">
        <v>441</v>
      </c>
      <c r="C24" s="552"/>
      <c r="D24" s="20">
        <v>30</v>
      </c>
      <c r="E24" s="7" t="s">
        <v>12</v>
      </c>
      <c r="F24" s="8"/>
      <c r="G24" s="8"/>
      <c r="H24" s="8"/>
      <c r="I24" s="8"/>
      <c r="J24" s="8"/>
      <c r="K24" s="9"/>
    </row>
    <row r="25" spans="2:25" ht="14.25" thickBot="1">
      <c r="B25" s="1501" t="s">
        <v>325</v>
      </c>
      <c r="C25" s="1502"/>
      <c r="D25" s="62">
        <f>D24</f>
        <v>30</v>
      </c>
      <c r="E25" s="7" t="s">
        <v>1153</v>
      </c>
      <c r="F25" s="8">
        <v>20</v>
      </c>
      <c r="G25" s="8"/>
      <c r="H25" s="8"/>
      <c r="I25" s="8"/>
      <c r="J25" s="8"/>
      <c r="K25" s="9"/>
      <c r="O25" s="1158" t="s">
        <v>1238</v>
      </c>
      <c r="P25" s="1159"/>
      <c r="Q25" s="1159"/>
      <c r="R25" s="1159"/>
      <c r="S25" s="1159"/>
      <c r="T25" s="1160"/>
      <c r="V25" s="289"/>
      <c r="W25" s="289"/>
      <c r="X25" s="289"/>
      <c r="Y25" s="323"/>
    </row>
    <row r="26" spans="2:20" ht="14.25" thickBot="1">
      <c r="B26" s="1503" t="s">
        <v>310</v>
      </c>
      <c r="C26" s="1504"/>
      <c r="D26" s="81">
        <f>IF(D24=0,Q58,(Q58-0.5)+(55+ROUNDUP($D$24/2,0))/100)</f>
        <v>0.85</v>
      </c>
      <c r="E26" s="7" t="s">
        <v>715</v>
      </c>
      <c r="F26" s="8"/>
      <c r="G26" s="8"/>
      <c r="H26" s="8"/>
      <c r="I26" s="8"/>
      <c r="J26" s="8"/>
      <c r="K26" s="9"/>
      <c r="O26" s="631" t="s">
        <v>252</v>
      </c>
      <c r="P26" s="630">
        <f>(350+5*$D$8)/100</f>
        <v>4.5</v>
      </c>
      <c r="Q26" s="632" t="s">
        <v>1240</v>
      </c>
      <c r="R26" s="161">
        <f>(30+D8)/100</f>
        <v>0.5</v>
      </c>
      <c r="S26" s="163" t="s">
        <v>1241</v>
      </c>
      <c r="T26" s="633">
        <f>2+ROUNDUP(D8/5,0)</f>
        <v>6</v>
      </c>
    </row>
    <row r="27" spans="2:20" ht="13.5">
      <c r="B27" s="1428" t="s">
        <v>442</v>
      </c>
      <c r="C27" s="1429"/>
      <c r="D27" s="2">
        <v>9</v>
      </c>
      <c r="E27" s="216" t="s">
        <v>1310</v>
      </c>
      <c r="F27" s="8">
        <v>0</v>
      </c>
      <c r="G27" s="40">
        <f>ROUNDDOWN(G3*D28%,0)</f>
        <v>3</v>
      </c>
      <c r="H27" s="40">
        <f>ROUNDDOWN(H3*D28%,0)</f>
        <v>35</v>
      </c>
      <c r="I27" s="40">
        <f>ROUNDDOWN(I3*D28%,0)</f>
        <v>0</v>
      </c>
      <c r="J27" s="40">
        <f>ROUNDDOWN(J3*D28%,0)</f>
        <v>0</v>
      </c>
      <c r="K27" s="9">
        <v>120</v>
      </c>
      <c r="O27" s="1" t="s">
        <v>551</v>
      </c>
      <c r="P27" s="3"/>
      <c r="Q27" s="662">
        <f>MIN(INT($P$4*(30+D8)/100),ReadMe!$M$99)</f>
        <v>4861</v>
      </c>
      <c r="R27" s="36" t="s">
        <v>1243</v>
      </c>
      <c r="S27" s="3"/>
      <c r="T27" s="662">
        <f>Q27*T26</f>
        <v>29166</v>
      </c>
    </row>
    <row r="28" spans="2:20" ht="14.25" thickBot="1">
      <c r="B28" s="14" t="s">
        <v>263</v>
      </c>
      <c r="C28" s="538"/>
      <c r="D28" s="46">
        <f>ROUNDUP(D27/2,0)</f>
        <v>5</v>
      </c>
      <c r="E28" s="7" t="s">
        <v>264</v>
      </c>
      <c r="F28" s="43">
        <f>D25+D29</f>
        <v>30</v>
      </c>
      <c r="G28" s="43">
        <f>SUM(G4:G26)</f>
        <v>50</v>
      </c>
      <c r="H28" s="43">
        <f>SUM(H4:H26)</f>
        <v>90</v>
      </c>
      <c r="I28" s="43">
        <f>SUM(I4:I26)</f>
        <v>27</v>
      </c>
      <c r="J28" s="43">
        <f>SUM(J4:J26)</f>
        <v>27</v>
      </c>
      <c r="K28" s="44">
        <f>SUM(K3:K27)+D29</f>
        <v>148</v>
      </c>
      <c r="O28" s="14" t="s">
        <v>1244</v>
      </c>
      <c r="P28" s="15"/>
      <c r="Q28" s="663">
        <f>MIN(INT(Q27*1.5),ReadMe!$M$99)</f>
        <v>7291</v>
      </c>
      <c r="R28" s="53" t="s">
        <v>1243</v>
      </c>
      <c r="S28" s="15"/>
      <c r="T28" s="663">
        <f>Q28*T26</f>
        <v>43746</v>
      </c>
    </row>
    <row r="29" spans="2:21" ht="14.25" thickBot="1">
      <c r="B29" s="17" t="s">
        <v>1378</v>
      </c>
      <c r="C29" s="195"/>
      <c r="D29" s="313">
        <v>0</v>
      </c>
      <c r="E29" s="14" t="s">
        <v>256</v>
      </c>
      <c r="F29" s="48">
        <f>D23+SUM(F4:F28)</f>
        <v>201</v>
      </c>
      <c r="G29" s="546">
        <f>INT((G3+G27+G28)*(1+G32))</f>
        <v>125</v>
      </c>
      <c r="H29" s="546">
        <f>INT((H3+H27+H28)*(1+H32))</f>
        <v>899</v>
      </c>
      <c r="I29" s="546">
        <f>INT((I3+I27+I28)*(1+I32))</f>
        <v>31</v>
      </c>
      <c r="J29" s="546">
        <f>INT((J3+J27+J28)*(1+J32))</f>
        <v>31</v>
      </c>
      <c r="K29" s="547">
        <f>($G$29*0.4+$J$29*0.8+$H$29*1.6+K28)*(1+K32)</f>
        <v>1661.2</v>
      </c>
      <c r="O29" s="1485" t="s">
        <v>304</v>
      </c>
      <c r="P29" s="88" t="s">
        <v>257</v>
      </c>
      <c r="Q29" s="628">
        <f>MIN(INT(($R$4*P26)*(1+$B$34+$E$34+$B$52+$K$35)),ReadMe!$M$99)</f>
        <v>29752</v>
      </c>
      <c r="R29" s="1448" t="s">
        <v>549</v>
      </c>
      <c r="S29" s="78" t="s">
        <v>257</v>
      </c>
      <c r="T29" s="629">
        <f>MIN(INT(Q29*$E$41),ReadMe!$M$99)</f>
        <v>40165</v>
      </c>
      <c r="U29" s="57"/>
    </row>
    <row r="30" spans="2:20" ht="14.25" thickBot="1">
      <c r="B30" s="1305" t="s">
        <v>981</v>
      </c>
      <c r="C30" s="1306"/>
      <c r="D30" s="1306"/>
      <c r="E30" s="1306"/>
      <c r="F30" s="1306"/>
      <c r="G30" s="1306"/>
      <c r="H30" s="1306"/>
      <c r="I30" s="1306"/>
      <c r="J30" s="1306"/>
      <c r="K30" s="1307"/>
      <c r="O30" s="1228"/>
      <c r="P30" s="43" t="s">
        <v>258</v>
      </c>
      <c r="Q30" s="522">
        <f>INT((Q29+Q31)/2)</f>
        <v>32377</v>
      </c>
      <c r="R30" s="1448"/>
      <c r="S30" s="79" t="s">
        <v>258</v>
      </c>
      <c r="T30" s="156">
        <f>MIN(INT(Q30*(($E$41+$F$41)/2)),ReadMe!$M$99)</f>
        <v>50993</v>
      </c>
    </row>
    <row r="31" spans="2:20" ht="14.25" thickBot="1">
      <c r="B31" s="1218" t="s">
        <v>762</v>
      </c>
      <c r="C31" s="1219"/>
      <c r="D31" s="1220"/>
      <c r="E31" s="1308" t="s">
        <v>982</v>
      </c>
      <c r="F31" s="1309"/>
      <c r="G31" s="1" t="s">
        <v>986</v>
      </c>
      <c r="H31" s="3" t="s">
        <v>985</v>
      </c>
      <c r="I31" s="3" t="s">
        <v>984</v>
      </c>
      <c r="J31" s="3" t="s">
        <v>983</v>
      </c>
      <c r="K31" s="4" t="s">
        <v>987</v>
      </c>
      <c r="O31" s="1229"/>
      <c r="P31" s="15" t="s">
        <v>259</v>
      </c>
      <c r="Q31" s="523">
        <f>MIN(INT(($T$4*P26)*(1+$B$34+$E$34+$B$52+$K$35)),ReadMe!$M$99)</f>
        <v>35002</v>
      </c>
      <c r="R31" s="80" t="s">
        <v>309</v>
      </c>
      <c r="S31" s="86" t="s">
        <v>259</v>
      </c>
      <c r="T31" s="520">
        <f>MIN(INT(Q31*$F$41),ReadMe!$M$99)</f>
        <v>63003</v>
      </c>
    </row>
    <row r="32" spans="2:20" ht="14.25" thickBot="1">
      <c r="B32" s="1210">
        <v>0</v>
      </c>
      <c r="C32" s="1211"/>
      <c r="D32" s="1212"/>
      <c r="E32" s="1130">
        <v>0</v>
      </c>
      <c r="F32" s="1131"/>
      <c r="G32" s="542">
        <v>0</v>
      </c>
      <c r="H32" s="543">
        <v>0.09</v>
      </c>
      <c r="I32" s="543">
        <v>0</v>
      </c>
      <c r="J32" s="543">
        <v>0</v>
      </c>
      <c r="K32" s="544">
        <v>0</v>
      </c>
      <c r="O32" s="1486" t="s">
        <v>323</v>
      </c>
      <c r="P32" s="1403"/>
      <c r="Q32" s="1403"/>
      <c r="R32" s="1462">
        <f>INT(Q30*(1-$G$41)+T30*$G$41)</f>
        <v>44477</v>
      </c>
      <c r="S32" s="1463"/>
      <c r="T32" s="1464"/>
    </row>
    <row r="33" spans="2:20" ht="14.25" thickBot="1">
      <c r="B33" s="1221" t="s">
        <v>135</v>
      </c>
      <c r="C33" s="1166"/>
      <c r="D33" s="1177"/>
      <c r="E33" s="1261" t="s">
        <v>877</v>
      </c>
      <c r="F33" s="1262"/>
      <c r="O33" s="1485" t="s">
        <v>967</v>
      </c>
      <c r="P33" s="88" t="s">
        <v>257</v>
      </c>
      <c r="Q33" s="628">
        <f>MIN(INT(Q29*1.5),ReadMe!$M$99)</f>
        <v>44628</v>
      </c>
      <c r="R33" s="1448" t="s">
        <v>549</v>
      </c>
      <c r="S33" s="78" t="s">
        <v>257</v>
      </c>
      <c r="T33" s="629">
        <f>MIN(INT(Q33*$E$41),ReadMe!$M$99)</f>
        <v>60247</v>
      </c>
    </row>
    <row r="34" spans="2:20" ht="14.25" thickBot="1">
      <c r="B34" s="1210">
        <v>0</v>
      </c>
      <c r="C34" s="1222"/>
      <c r="D34" s="1212"/>
      <c r="E34" s="1130">
        <v>0</v>
      </c>
      <c r="F34" s="1131"/>
      <c r="I34" s="1297" t="s">
        <v>1417</v>
      </c>
      <c r="J34" s="1298"/>
      <c r="K34" s="1299"/>
      <c r="O34" s="1228"/>
      <c r="P34" s="43" t="s">
        <v>258</v>
      </c>
      <c r="Q34" s="522">
        <f>MIN(INT(Q30*1.5),ReadMe!$M$99)</f>
        <v>48565</v>
      </c>
      <c r="R34" s="1448"/>
      <c r="S34" s="79" t="s">
        <v>258</v>
      </c>
      <c r="T34" s="156">
        <f>MIN(INT(Q34*(($E$41+$F$41)/2)),ReadMe!$M$99)</f>
        <v>76489</v>
      </c>
    </row>
    <row r="35" spans="9:20" ht="13.5" customHeight="1" thickBot="1">
      <c r="I35" s="14" t="s">
        <v>1410</v>
      </c>
      <c r="J35" s="15"/>
      <c r="K35" s="534">
        <v>0</v>
      </c>
      <c r="O35" s="1229"/>
      <c r="P35" s="15" t="s">
        <v>259</v>
      </c>
      <c r="Q35" s="523">
        <f>MIN(INT(Q31*1.5),ReadMe!$M$99)</f>
        <v>52503</v>
      </c>
      <c r="R35" s="80" t="s">
        <v>309</v>
      </c>
      <c r="S35" s="86" t="s">
        <v>259</v>
      </c>
      <c r="T35" s="520">
        <f>MIN(INT(Q35*$F$41),ReadMe!$M$99)</f>
        <v>94505</v>
      </c>
    </row>
    <row r="36" spans="2:20" ht="14.25" thickBot="1">
      <c r="B36" s="1280" t="s">
        <v>88</v>
      </c>
      <c r="C36" s="1281"/>
      <c r="D36" s="1281"/>
      <c r="E36" s="503" t="s">
        <v>257</v>
      </c>
      <c r="F36" s="19" t="s">
        <v>259</v>
      </c>
      <c r="G36" s="504" t="s">
        <v>1085</v>
      </c>
      <c r="O36" s="1434" t="s">
        <v>323</v>
      </c>
      <c r="P36" s="1435"/>
      <c r="Q36" s="1435"/>
      <c r="R36" s="1462">
        <f>INT(Q34*(1-$G$41)+T34*$G$41)</f>
        <v>66715</v>
      </c>
      <c r="S36" s="1463"/>
      <c r="T36" s="1464"/>
    </row>
    <row r="37" spans="2:11" ht="14.25" thickBot="1">
      <c r="B37" s="1213" t="s">
        <v>90</v>
      </c>
      <c r="C37" s="1214"/>
      <c r="D37" s="1215"/>
      <c r="E37" s="35">
        <f>(120+ROUNDUP(D24/2,0))/100</f>
        <v>1.35</v>
      </c>
      <c r="F37" s="507">
        <v>1.5</v>
      </c>
      <c r="G37" s="241">
        <f>(T58*2+5)/100</f>
        <v>0.45</v>
      </c>
      <c r="I37" s="1256" t="s">
        <v>438</v>
      </c>
      <c r="J37" s="1300"/>
      <c r="K37" s="1301"/>
    </row>
    <row r="38" spans="2:20" ht="14.25" thickBot="1">
      <c r="B38" s="1228" t="s">
        <v>86</v>
      </c>
      <c r="C38" s="1284"/>
      <c r="D38" s="516">
        <v>30</v>
      </c>
      <c r="E38" s="506"/>
      <c r="F38" s="505">
        <f>D38/100</f>
        <v>0.3</v>
      </c>
      <c r="G38" s="511">
        <f>IF(D38=0,0,(5+ROUNDUP(D38/2,0))/100)</f>
        <v>0.2</v>
      </c>
      <c r="I38" s="1256" t="s">
        <v>440</v>
      </c>
      <c r="J38" s="1257"/>
      <c r="K38" s="1258"/>
      <c r="O38" s="1158" t="s">
        <v>996</v>
      </c>
      <c r="P38" s="1159"/>
      <c r="Q38" s="1159"/>
      <c r="R38" s="1160"/>
      <c r="S38" s="282" t="s">
        <v>252</v>
      </c>
      <c r="T38" s="283">
        <v>5</v>
      </c>
    </row>
    <row r="39" spans="1:20"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O39" s="1227" t="s">
        <v>304</v>
      </c>
      <c r="P39" s="76" t="s">
        <v>257</v>
      </c>
      <c r="Q39" s="521">
        <f>INT(($R$4*T38)*(1+$B$34+$E$34+$B$52+$K$35))</f>
        <v>33058</v>
      </c>
      <c r="R39" s="1447" t="s">
        <v>549</v>
      </c>
      <c r="S39" s="78" t="s">
        <v>257</v>
      </c>
      <c r="T39" s="519">
        <f>INT(Q39*$E$41)</f>
        <v>44628</v>
      </c>
    </row>
    <row r="40" spans="2:20" ht="14.25" thickBot="1">
      <c r="B40" s="1285" t="s">
        <v>89</v>
      </c>
      <c r="C40" s="1286"/>
      <c r="D40" s="1287"/>
      <c r="E40" s="513">
        <v>0</v>
      </c>
      <c r="F40" s="514">
        <v>0</v>
      </c>
      <c r="G40" s="515">
        <v>0</v>
      </c>
      <c r="O40" s="1228"/>
      <c r="P40" s="43" t="s">
        <v>258</v>
      </c>
      <c r="Q40" s="522">
        <f>INT((Q39+Q41)/2)</f>
        <v>35974</v>
      </c>
      <c r="R40" s="1448"/>
      <c r="S40" s="79" t="s">
        <v>258</v>
      </c>
      <c r="T40" s="156">
        <f>MIN(INT(Q40*(($E$41+$F$41)/2)),ReadMe!$M$99)</f>
        <v>56659</v>
      </c>
    </row>
    <row r="41" spans="2:20" ht="14.25" thickBot="1">
      <c r="B41" s="1290" t="s">
        <v>91</v>
      </c>
      <c r="C41" s="1291"/>
      <c r="D41" s="1292"/>
      <c r="E41" s="508">
        <f>E37+E39+E40</f>
        <v>1.35</v>
      </c>
      <c r="F41" s="509">
        <f>F37+MAX(F38,F39)+F40</f>
        <v>1.8</v>
      </c>
      <c r="G41" s="510">
        <f>G37+MAX(G38,G39)+G40</f>
        <v>0.65</v>
      </c>
      <c r="I41" s="1259" t="s">
        <v>128</v>
      </c>
      <c r="J41" s="1260"/>
      <c r="K41" s="791"/>
      <c r="L41" s="402" t="b">
        <v>0</v>
      </c>
      <c r="M41" s="486" t="str">
        <f>IF(L41=TRUE,"TRUE",IF(K41=1,"TRUE","FLASE"))</f>
        <v>FLASE</v>
      </c>
      <c r="O41" s="1229"/>
      <c r="P41" s="15" t="s">
        <v>259</v>
      </c>
      <c r="Q41" s="523">
        <f>INT(($T$4*T38)*(1+$B$34+$E$34+$B$52+$K$35))</f>
        <v>38891</v>
      </c>
      <c r="R41" s="80" t="s">
        <v>309</v>
      </c>
      <c r="S41" s="86" t="s">
        <v>259</v>
      </c>
      <c r="T41" s="520">
        <f>INT(Q41*$F$41)</f>
        <v>70003</v>
      </c>
    </row>
    <row r="42" spans="2:20" ht="14.25" thickBot="1">
      <c r="B42" s="1216" t="s">
        <v>331</v>
      </c>
      <c r="C42" s="1199"/>
      <c r="D42" s="1200"/>
      <c r="E42" s="1253">
        <f>(($E$41+$F$41)/2-1)*$G$41+1</f>
        <v>1.3737500000000002</v>
      </c>
      <c r="F42" s="1254"/>
      <c r="G42" s="1255"/>
      <c r="I42" s="590" t="s">
        <v>1119</v>
      </c>
      <c r="J42" s="788"/>
      <c r="K42" s="789">
        <v>0</v>
      </c>
      <c r="O42" s="1434" t="s">
        <v>323</v>
      </c>
      <c r="P42" s="1435"/>
      <c r="Q42" s="1435"/>
      <c r="R42" s="1462">
        <f>INT(Q40*(1-$G$41)+T40*$G$41)</f>
        <v>49419</v>
      </c>
      <c r="S42" s="1463"/>
      <c r="T42" s="1464"/>
    </row>
    <row r="43" spans="9:13" ht="14.25" thickBot="1">
      <c r="I43" s="1251" t="s">
        <v>854</v>
      </c>
      <c r="J43" s="1252"/>
      <c r="K43" s="790">
        <f>IF(M41="true",IF(K42&gt;0,10+ROUNDUP(K42/3,0),10)/100,0)</f>
        <v>0</v>
      </c>
      <c r="L43" s="323"/>
      <c r="M43" s="323"/>
    </row>
    <row r="44" spans="15:20" ht="14.25" thickBot="1">
      <c r="O44" s="1158" t="s">
        <v>218</v>
      </c>
      <c r="P44" s="1159"/>
      <c r="Q44" s="1159"/>
      <c r="R44" s="1160"/>
      <c r="S44" s="282" t="s">
        <v>252</v>
      </c>
      <c r="T44" s="283">
        <v>3.1</v>
      </c>
    </row>
    <row r="45" spans="2:20" ht="14.25" thickBot="1">
      <c r="B45" s="1282" t="s">
        <v>735</v>
      </c>
      <c r="C45" s="1283"/>
      <c r="D45" s="533">
        <v>125</v>
      </c>
      <c r="E45" s="1249" t="s">
        <v>736</v>
      </c>
      <c r="F45" s="1250"/>
      <c r="G45" s="25">
        <f>IF(D2&gt;D45,0,$D$45-$D$2)</f>
        <v>0</v>
      </c>
      <c r="I45" s="1137" t="s">
        <v>159</v>
      </c>
      <c r="J45" s="1138"/>
      <c r="K45" s="1139"/>
      <c r="O45" s="1227" t="s">
        <v>304</v>
      </c>
      <c r="P45" s="76" t="s">
        <v>257</v>
      </c>
      <c r="Q45" s="521">
        <f>INT(($R$4*T44)*(1+$B$34+$E$34+$B$52+$K$35))</f>
        <v>20496</v>
      </c>
      <c r="R45" s="1447" t="s">
        <v>549</v>
      </c>
      <c r="S45" s="78" t="s">
        <v>257</v>
      </c>
      <c r="T45" s="519">
        <f>INT(Q45*$E$41)</f>
        <v>27669</v>
      </c>
    </row>
    <row r="46" spans="2:20" ht="13.5">
      <c r="B46" s="1242" t="s">
        <v>769</v>
      </c>
      <c r="C46" s="1243"/>
      <c r="D46" s="9">
        <v>12</v>
      </c>
      <c r="E46" s="1242" t="s">
        <v>771</v>
      </c>
      <c r="F46" s="1243"/>
      <c r="G46" s="615">
        <f>IF(G45&gt;0,"-",D46)</f>
        <v>12</v>
      </c>
      <c r="I46" s="416" t="s">
        <v>160</v>
      </c>
      <c r="J46" s="539"/>
      <c r="K46" s="204">
        <v>0</v>
      </c>
      <c r="L46" s="323"/>
      <c r="M46" s="323"/>
      <c r="O46" s="1228"/>
      <c r="P46" s="43" t="s">
        <v>258</v>
      </c>
      <c r="Q46" s="522">
        <f>INT((Q45+Q47)/2)</f>
        <v>22304</v>
      </c>
      <c r="R46" s="1448"/>
      <c r="S46" s="79" t="s">
        <v>258</v>
      </c>
      <c r="T46" s="156">
        <f>MIN(INT(Q46*(($E$41+$F$41)/2)),ReadMe!$M$99)</f>
        <v>35128</v>
      </c>
    </row>
    <row r="47" spans="2:20" ht="14.25" thickBot="1">
      <c r="B47" s="1293" t="s">
        <v>734</v>
      </c>
      <c r="C47" s="1294"/>
      <c r="D47" s="9">
        <v>0</v>
      </c>
      <c r="E47" s="1242" t="s">
        <v>770</v>
      </c>
      <c r="F47" s="1243"/>
      <c r="G47" s="511">
        <f>MAX((MIN(100+SQRT($K$29)-SQRT($D$46),100)-2*G45)/100,0)</f>
        <v>1</v>
      </c>
      <c r="I47" s="417" t="s">
        <v>161</v>
      </c>
      <c r="J47" s="540"/>
      <c r="K47" s="418">
        <f>IF(K46&gt;0,(K46+10)/100,0)</f>
        <v>0</v>
      </c>
      <c r="O47" s="1229"/>
      <c r="P47" s="15" t="s">
        <v>259</v>
      </c>
      <c r="Q47" s="523">
        <f>INT(($T$4*T44)*(1+$B$34+$E$34+$B$52+$K$35))</f>
        <v>24112</v>
      </c>
      <c r="R47" s="80" t="s">
        <v>309</v>
      </c>
      <c r="S47" s="86" t="s">
        <v>259</v>
      </c>
      <c r="T47" s="520">
        <f>INT(Q47*$F$41)</f>
        <v>43401</v>
      </c>
    </row>
    <row r="48" spans="2:20" ht="14.25" thickBot="1">
      <c r="B48" s="1278" t="s">
        <v>979</v>
      </c>
      <c r="C48" s="1279"/>
      <c r="D48" s="534">
        <v>0.25</v>
      </c>
      <c r="E48" s="1197" t="s">
        <v>980</v>
      </c>
      <c r="F48" s="1198"/>
      <c r="G48" s="28">
        <f>1-(D48-ROUNDUP(D48*(K47+B32+D22),2))</f>
        <v>0.8</v>
      </c>
      <c r="O48" s="1434" t="s">
        <v>323</v>
      </c>
      <c r="P48" s="1435"/>
      <c r="Q48" s="1435"/>
      <c r="R48" s="1462">
        <f>INT(Q46*(1-$G$41)+T46*$G$41)</f>
        <v>30639</v>
      </c>
      <c r="S48" s="1463"/>
      <c r="T48" s="1464"/>
    </row>
    <row r="49" spans="4:13" ht="14.25" thickBot="1">
      <c r="D49" s="402">
        <f>$D$47*(1-($K$47+$B$32+$D$22))</f>
        <v>0</v>
      </c>
      <c r="I49" s="1246" t="s">
        <v>79</v>
      </c>
      <c r="J49" s="1247"/>
      <c r="K49" s="1248"/>
      <c r="L49" s="323"/>
      <c r="M49" s="162"/>
    </row>
    <row r="50" spans="2:20" ht="14.25" thickBot="1">
      <c r="B50" s="1153" t="s">
        <v>1084</v>
      </c>
      <c r="C50" s="1133"/>
      <c r="D50" s="1129"/>
      <c r="I50" s="1127" t="s">
        <v>988</v>
      </c>
      <c r="J50" s="1217"/>
      <c r="K50" s="468"/>
      <c r="L50" s="486" t="b">
        <v>0</v>
      </c>
      <c r="M50" s="486" t="str">
        <f>IF(L50=TRUE,"TRUE",IF(K50=1,"TRUE","FLASE"))</f>
        <v>FLASE</v>
      </c>
      <c r="O50" s="1158" t="s">
        <v>1090</v>
      </c>
      <c r="P50" s="1159"/>
      <c r="Q50" s="1159"/>
      <c r="R50" s="1159"/>
      <c r="S50" s="1159"/>
      <c r="T50" s="1160"/>
    </row>
    <row r="51" spans="2:20" ht="14.25" thickBot="1">
      <c r="B51" s="1187" t="s">
        <v>877</v>
      </c>
      <c r="C51" s="1188"/>
      <c r="D51" s="1189"/>
      <c r="I51" s="1244" t="s">
        <v>989</v>
      </c>
      <c r="J51" s="1245"/>
      <c r="K51" s="469"/>
      <c r="L51" s="486" t="b">
        <v>0</v>
      </c>
      <c r="M51" s="486" t="str">
        <f>IF(L51=TRUE,"TRUE",IF(K51=1,"TRUE","FLASE"))</f>
        <v>FLASE</v>
      </c>
      <c r="O51" s="291" t="s">
        <v>519</v>
      </c>
      <c r="P51" s="271">
        <f>D7</f>
        <v>1</v>
      </c>
      <c r="Q51" s="240" t="s">
        <v>301</v>
      </c>
      <c r="R51" s="408">
        <f>INT(210+5*P51)/100</f>
        <v>2.15</v>
      </c>
      <c r="S51" s="14" t="s">
        <v>872</v>
      </c>
      <c r="T51" s="16">
        <f>100+4*P51</f>
        <v>104</v>
      </c>
    </row>
    <row r="52" spans="2:20" ht="14.25" thickBot="1">
      <c r="B52" s="1194">
        <v>0</v>
      </c>
      <c r="C52" s="1195"/>
      <c r="D52" s="1196"/>
      <c r="I52" s="1240" t="s">
        <v>854</v>
      </c>
      <c r="J52" s="1241"/>
      <c r="K52" s="206">
        <f>IF(M50="TRUE",1.04,IF(M51="TRUE",1.02,1))</f>
        <v>1</v>
      </c>
      <c r="L52" s="333"/>
      <c r="M52" s="333"/>
      <c r="O52" s="1342" t="s">
        <v>1050</v>
      </c>
      <c r="P52" s="1471"/>
      <c r="Q52" s="310">
        <f>60/T51</f>
        <v>0.5769230769230769</v>
      </c>
      <c r="R52" s="1469" t="s">
        <v>1068</v>
      </c>
      <c r="S52" s="1470"/>
      <c r="T52" s="83">
        <v>20</v>
      </c>
    </row>
    <row r="53" spans="15:20" ht="14.25" thickBot="1">
      <c r="O53" s="292" t="s">
        <v>1046</v>
      </c>
      <c r="P53" s="4">
        <f>MIN(INT(R53*0.5),ReadMe!$M$99)</f>
        <v>8884</v>
      </c>
      <c r="Q53" s="292" t="s">
        <v>1043</v>
      </c>
      <c r="R53" s="4">
        <f>MIN(INT(($N$4*R51)*(1+$B$34+$E$34+$B$52+$K$35)),ReadMe!$M$99)</f>
        <v>17768</v>
      </c>
      <c r="S53" s="292" t="s">
        <v>1016</v>
      </c>
      <c r="T53" s="4">
        <f>MIN(INT(R53*1.5),ReadMe!$M$99)</f>
        <v>26652</v>
      </c>
    </row>
    <row r="54" spans="2:20" ht="14.25" thickBot="1">
      <c r="B54" s="1201" t="s">
        <v>265</v>
      </c>
      <c r="C54" s="1202"/>
      <c r="D54" s="1202"/>
      <c r="E54" s="1202"/>
      <c r="F54" s="1202"/>
      <c r="G54" s="1202"/>
      <c r="H54" s="1202"/>
      <c r="I54" s="1202"/>
      <c r="J54" s="1202"/>
      <c r="K54" s="1202"/>
      <c r="L54" s="1203"/>
      <c r="O54" s="7" t="s">
        <v>1047</v>
      </c>
      <c r="P54" s="44">
        <f>MIN(INT(R54*0.5),ReadMe!$M$99)</f>
        <v>9668</v>
      </c>
      <c r="Q54" s="7" t="s">
        <v>1044</v>
      </c>
      <c r="R54" s="44">
        <f>INT((R53+R55)/2)</f>
        <v>19336</v>
      </c>
      <c r="S54" s="7" t="s">
        <v>1017</v>
      </c>
      <c r="T54" s="44">
        <f>MIN(INT(R54*1.5),ReadMe!$M$99)</f>
        <v>29004</v>
      </c>
    </row>
    <row r="55" spans="2:20" ht="14.25" thickBot="1">
      <c r="B55" s="1268" t="s">
        <v>328</v>
      </c>
      <c r="C55" s="1269"/>
      <c r="D55" s="1270"/>
      <c r="E55" s="1270"/>
      <c r="F55" s="1270"/>
      <c r="G55" s="1270"/>
      <c r="H55" s="1270"/>
      <c r="I55" s="1270"/>
      <c r="J55" s="1270"/>
      <c r="K55" s="1270"/>
      <c r="L55" s="1272"/>
      <c r="O55" s="14" t="s">
        <v>1049</v>
      </c>
      <c r="P55" s="143">
        <f>MIN(INT(R55*0.5),ReadMe!$M$99)</f>
        <v>10452</v>
      </c>
      <c r="Q55" s="14" t="s">
        <v>1045</v>
      </c>
      <c r="R55" s="143">
        <f>MIN(INT(($P$4*R51)*(1+$B$34+$E$34+$B$52+$K$35)),ReadMe!$M$99)</f>
        <v>20904</v>
      </c>
      <c r="S55" s="14" t="s">
        <v>1018</v>
      </c>
      <c r="T55" s="143">
        <f>MIN(INT(R55*1.5),ReadMe!$M$99)</f>
        <v>31356</v>
      </c>
    </row>
    <row r="56" spans="2:12" ht="14.25" thickBot="1">
      <c r="B56" s="1273" t="s">
        <v>643</v>
      </c>
      <c r="C56" s="1274"/>
      <c r="D56" s="1275"/>
      <c r="E56" s="1275"/>
      <c r="F56" s="1275"/>
      <c r="G56" s="1275"/>
      <c r="H56" s="1275"/>
      <c r="I56" s="1275"/>
      <c r="J56" s="1275"/>
      <c r="K56" s="1275"/>
      <c r="L56" s="1277"/>
    </row>
    <row r="57" spans="2:20" ht="14.25" thickBot="1">
      <c r="B57" s="1273" t="s">
        <v>644</v>
      </c>
      <c r="C57" s="1274"/>
      <c r="D57" s="1275"/>
      <c r="E57" s="1275"/>
      <c r="F57" s="1275"/>
      <c r="G57" s="1275"/>
      <c r="H57" s="1275"/>
      <c r="I57" s="1275"/>
      <c r="J57" s="1275"/>
      <c r="K57" s="1275"/>
      <c r="L57" s="1277"/>
      <c r="O57" s="1467" t="s">
        <v>1405</v>
      </c>
      <c r="P57" s="1386"/>
      <c r="Q57" s="1386"/>
      <c r="R57" s="1386"/>
      <c r="S57" s="1386"/>
      <c r="T57" s="1468"/>
    </row>
    <row r="58" spans="2:20" ht="14.25" thickBot="1">
      <c r="B58" s="1422" t="s">
        <v>586</v>
      </c>
      <c r="C58" s="1423"/>
      <c r="D58" s="1423"/>
      <c r="E58" s="1423"/>
      <c r="F58" s="1423"/>
      <c r="G58" s="1423"/>
      <c r="H58" s="1423"/>
      <c r="I58" s="1423"/>
      <c r="J58" s="1423"/>
      <c r="K58" s="1423"/>
      <c r="L58" s="1424"/>
      <c r="O58" s="1201" t="s">
        <v>310</v>
      </c>
      <c r="P58" s="1180"/>
      <c r="Q58" s="463">
        <v>0.65</v>
      </c>
      <c r="R58" s="1305" t="s">
        <v>1293</v>
      </c>
      <c r="S58" s="1306"/>
      <c r="T58" s="313">
        <v>20</v>
      </c>
    </row>
    <row r="59" spans="2:20" ht="14.25" thickBot="1">
      <c r="B59" s="1273" t="s">
        <v>1142</v>
      </c>
      <c r="C59" s="1274"/>
      <c r="D59" s="1275"/>
      <c r="E59" s="1275"/>
      <c r="F59" s="1275"/>
      <c r="G59" s="1275"/>
      <c r="H59" s="1275"/>
      <c r="I59" s="1275"/>
      <c r="J59" s="1275"/>
      <c r="K59" s="1275"/>
      <c r="L59" s="1277"/>
      <c r="O59" s="1342" t="s">
        <v>1406</v>
      </c>
      <c r="P59" s="1343"/>
      <c r="Q59" s="463">
        <v>1</v>
      </c>
      <c r="R59" s="1465" t="s">
        <v>1334</v>
      </c>
      <c r="S59" s="1466"/>
      <c r="T59" s="356">
        <v>1</v>
      </c>
    </row>
    <row r="60" spans="2:20" ht="14.25" thickBot="1">
      <c r="B60" s="1472" t="s">
        <v>674</v>
      </c>
      <c r="C60" s="1473"/>
      <c r="D60" s="1473"/>
      <c r="E60" s="1473"/>
      <c r="F60" s="1473"/>
      <c r="G60" s="1473"/>
      <c r="H60" s="1473"/>
      <c r="I60" s="1473"/>
      <c r="J60" s="1473"/>
      <c r="K60" s="1473"/>
      <c r="L60" s="1474"/>
      <c r="O60" s="1227" t="s">
        <v>304</v>
      </c>
      <c r="P60" s="76" t="s">
        <v>257</v>
      </c>
      <c r="Q60" s="521">
        <f>INT(($R$4*Q59)*(1+$B$34+$E$34+$B$52+$K$35))</f>
        <v>6611</v>
      </c>
      <c r="R60" s="1447" t="s">
        <v>549</v>
      </c>
      <c r="S60" s="78" t="s">
        <v>257</v>
      </c>
      <c r="T60" s="519">
        <f>INT(Q60*$E$41)</f>
        <v>8924</v>
      </c>
    </row>
    <row r="61" spans="15:20" ht="13.5">
      <c r="O61" s="1228"/>
      <c r="P61" s="43" t="s">
        <v>258</v>
      </c>
      <c r="Q61" s="522">
        <f>INT((Q60+Q62)/2)</f>
        <v>7194</v>
      </c>
      <c r="R61" s="1448"/>
      <c r="S61" s="79" t="s">
        <v>258</v>
      </c>
      <c r="T61" s="156">
        <f>MIN(INT(Q61*(($E$41+$F$41)/2)),ReadMe!$M$99)</f>
        <v>11330</v>
      </c>
    </row>
    <row r="62" spans="15:20" ht="14.25" thickBot="1">
      <c r="O62" s="1229"/>
      <c r="P62" s="15" t="s">
        <v>259</v>
      </c>
      <c r="Q62" s="523">
        <f>INT(($T$4*Q59)*(1+$B$34+$E$34+$B$52+$K$35))</f>
        <v>7778</v>
      </c>
      <c r="R62" s="80" t="s">
        <v>309</v>
      </c>
      <c r="S62" s="86" t="s">
        <v>259</v>
      </c>
      <c r="T62" s="520">
        <f>INT(Q62*$F$41)</f>
        <v>14000</v>
      </c>
    </row>
    <row r="63" spans="15:20" ht="14.25" thickBot="1">
      <c r="O63" s="1302" t="s">
        <v>323</v>
      </c>
      <c r="P63" s="1303"/>
      <c r="Q63" s="1304"/>
      <c r="R63" s="1462">
        <f>INT(Q61*(1-$G$41)+T61*$G$41)</f>
        <v>9882</v>
      </c>
      <c r="S63" s="1463"/>
      <c r="T63" s="1464"/>
    </row>
    <row r="64" spans="15:20" ht="14.25" thickBot="1">
      <c r="O64" s="1302" t="s">
        <v>726</v>
      </c>
      <c r="P64" s="1303"/>
      <c r="Q64" s="1304"/>
      <c r="R64" s="1489">
        <f>R63*T59</f>
        <v>9882</v>
      </c>
      <c r="S64" s="1463"/>
      <c r="T64" s="1464"/>
    </row>
  </sheetData>
  <sheetProtection/>
  <protectedRanges>
    <protectedRange sqref="D45:D46 D48" name="範囲1"/>
  </protectedRanges>
  <mergeCells count="121">
    <mergeCell ref="B2:C2"/>
    <mergeCell ref="B23:C23"/>
    <mergeCell ref="B25:C25"/>
    <mergeCell ref="B26:C26"/>
    <mergeCell ref="B22:C22"/>
    <mergeCell ref="B27:C27"/>
    <mergeCell ref="B30:K30"/>
    <mergeCell ref="B31:D31"/>
    <mergeCell ref="E31:F31"/>
    <mergeCell ref="B32:D32"/>
    <mergeCell ref="E32:F32"/>
    <mergeCell ref="B33:D33"/>
    <mergeCell ref="E33:F33"/>
    <mergeCell ref="O6:T6"/>
    <mergeCell ref="O11:Q11"/>
    <mergeCell ref="V2:Y2"/>
    <mergeCell ref="V7:W7"/>
    <mergeCell ref="X7:Y7"/>
    <mergeCell ref="V10:AA10"/>
    <mergeCell ref="V11:W11"/>
    <mergeCell ref="X11:Y11"/>
    <mergeCell ref="Z11:AA11"/>
    <mergeCell ref="O8:O10"/>
    <mergeCell ref="R64:T64"/>
    <mergeCell ref="O63:Q63"/>
    <mergeCell ref="B36:D36"/>
    <mergeCell ref="B37:D37"/>
    <mergeCell ref="B38:C38"/>
    <mergeCell ref="I45:K45"/>
    <mergeCell ref="B39:C39"/>
    <mergeCell ref="B40:D40"/>
    <mergeCell ref="R36:T36"/>
    <mergeCell ref="I38:K38"/>
    <mergeCell ref="O42:Q42"/>
    <mergeCell ref="R42:T42"/>
    <mergeCell ref="R60:R61"/>
    <mergeCell ref="Z12:AA12"/>
    <mergeCell ref="O29:O31"/>
    <mergeCell ref="R29:R30"/>
    <mergeCell ref="O32:Q32"/>
    <mergeCell ref="R32:T32"/>
    <mergeCell ref="R23:T23"/>
    <mergeCell ref="V12:W12"/>
    <mergeCell ref="X12:Y12"/>
    <mergeCell ref="R12:T12"/>
    <mergeCell ref="R19:T19"/>
    <mergeCell ref="B41:D41"/>
    <mergeCell ref="R22:S22"/>
    <mergeCell ref="O39:O41"/>
    <mergeCell ref="R39:R40"/>
    <mergeCell ref="O33:O35"/>
    <mergeCell ref="R33:R34"/>
    <mergeCell ref="O38:R38"/>
    <mergeCell ref="B42:D42"/>
    <mergeCell ref="E42:G42"/>
    <mergeCell ref="I52:J52"/>
    <mergeCell ref="I49:K49"/>
    <mergeCell ref="I50:J50"/>
    <mergeCell ref="I51:J51"/>
    <mergeCell ref="I43:J43"/>
    <mergeCell ref="B57:L57"/>
    <mergeCell ref="B60:L60"/>
    <mergeCell ref="B58:L58"/>
    <mergeCell ref="B59:L59"/>
    <mergeCell ref="B55:L55"/>
    <mergeCell ref="O50:T50"/>
    <mergeCell ref="B56:L56"/>
    <mergeCell ref="O52:P52"/>
    <mergeCell ref="O44:R44"/>
    <mergeCell ref="R48:T48"/>
    <mergeCell ref="O48:Q48"/>
    <mergeCell ref="O59:P59"/>
    <mergeCell ref="R59:S59"/>
    <mergeCell ref="R45:R46"/>
    <mergeCell ref="O57:T57"/>
    <mergeCell ref="R52:S52"/>
    <mergeCell ref="O58:P58"/>
    <mergeCell ref="R63:T63"/>
    <mergeCell ref="O64:Q64"/>
    <mergeCell ref="B45:C45"/>
    <mergeCell ref="E45:F45"/>
    <mergeCell ref="B46:C46"/>
    <mergeCell ref="E46:F46"/>
    <mergeCell ref="B47:C47"/>
    <mergeCell ref="E47:F47"/>
    <mergeCell ref="B48:C48"/>
    <mergeCell ref="B54:L54"/>
    <mergeCell ref="O19:P21"/>
    <mergeCell ref="O60:O62"/>
    <mergeCell ref="R58:S58"/>
    <mergeCell ref="B4:D4"/>
    <mergeCell ref="E48:F48"/>
    <mergeCell ref="B50:D50"/>
    <mergeCell ref="B51:D51"/>
    <mergeCell ref="B52:D52"/>
    <mergeCell ref="O22:P22"/>
    <mergeCell ref="O45:O47"/>
    <mergeCell ref="E34:F34"/>
    <mergeCell ref="F1:P1"/>
    <mergeCell ref="N2:P2"/>
    <mergeCell ref="R2:T2"/>
    <mergeCell ref="R21:T21"/>
    <mergeCell ref="R15:R16"/>
    <mergeCell ref="R18:T18"/>
    <mergeCell ref="O15:O17"/>
    <mergeCell ref="O18:Q18"/>
    <mergeCell ref="R8:R10"/>
    <mergeCell ref="I37:K37"/>
    <mergeCell ref="I41:J41"/>
    <mergeCell ref="R11:T11"/>
    <mergeCell ref="B20:C20"/>
    <mergeCell ref="B21:C21"/>
    <mergeCell ref="D20:D21"/>
    <mergeCell ref="R20:T20"/>
    <mergeCell ref="O12:Q12"/>
    <mergeCell ref="O14:R14"/>
    <mergeCell ref="B34:D34"/>
    <mergeCell ref="O23:Q23"/>
    <mergeCell ref="O25:T25"/>
    <mergeCell ref="O36:Q36"/>
    <mergeCell ref="I34:K34"/>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5.xml><?xml version="1.0" encoding="utf-8"?>
<worksheet xmlns="http://schemas.openxmlformats.org/spreadsheetml/2006/main" xmlns:r="http://schemas.openxmlformats.org/officeDocument/2006/relationships">
  <dimension ref="A1:Z63"/>
  <sheetViews>
    <sheetView workbookViewId="0" topLeftCell="A1">
      <selection activeCell="D17" sqref="D17"/>
    </sheetView>
  </sheetViews>
  <sheetFormatPr defaultColWidth="9.00390625" defaultRowHeight="13.5"/>
  <cols>
    <col min="1" max="1" width="2.625" style="0" customWidth="1"/>
    <col min="2" max="11" width="5.625" style="0" customWidth="1"/>
    <col min="12" max="13" width="2.625" style="0" customWidth="1"/>
  </cols>
  <sheetData>
    <row r="1" spans="6:16" ht="24.75" thickBot="1">
      <c r="F1" s="1223" t="s">
        <v>446</v>
      </c>
      <c r="G1" s="1223"/>
      <c r="H1" s="1223"/>
      <c r="I1" s="1223"/>
      <c r="J1" s="1223"/>
      <c r="K1" s="1223"/>
      <c r="L1" s="1223"/>
      <c r="M1" s="1223"/>
      <c r="N1" s="1223"/>
      <c r="O1" s="1223"/>
      <c r="P1" s="1223"/>
    </row>
    <row r="2" spans="2:25" ht="14.25" thickBot="1">
      <c r="B2" s="1153" t="s">
        <v>447</v>
      </c>
      <c r="C2" s="1154"/>
      <c r="D2" s="137">
        <v>150</v>
      </c>
      <c r="E2" s="37"/>
      <c r="F2" s="3" t="s">
        <v>325</v>
      </c>
      <c r="G2" s="3" t="s">
        <v>448</v>
      </c>
      <c r="H2" s="3" t="s">
        <v>449</v>
      </c>
      <c r="I2" s="3" t="s">
        <v>84</v>
      </c>
      <c r="J2" s="3" t="s">
        <v>85</v>
      </c>
      <c r="K2" s="25" t="s">
        <v>749</v>
      </c>
      <c r="N2" s="1224" t="s">
        <v>301</v>
      </c>
      <c r="O2" s="1225"/>
      <c r="P2" s="1226"/>
      <c r="R2" s="1224" t="s">
        <v>737</v>
      </c>
      <c r="S2" s="1225"/>
      <c r="T2" s="1226"/>
      <c r="V2" s="1158" t="s">
        <v>1109</v>
      </c>
      <c r="W2" s="1159"/>
      <c r="X2" s="1159"/>
      <c r="Y2" s="1160"/>
    </row>
    <row r="3" spans="2:25" ht="14.25" thickBot="1">
      <c r="B3" s="14" t="s">
        <v>241</v>
      </c>
      <c r="C3" s="538"/>
      <c r="D3" s="16">
        <f>((D2-1)*5+IF(D2&gt;=120,35,IF(D2&gt;=70,30,25)))-(G3+H3+I3+J3)</f>
        <v>0</v>
      </c>
      <c r="E3" s="42" t="s">
        <v>242</v>
      </c>
      <c r="F3" s="8"/>
      <c r="G3" s="8">
        <v>67</v>
      </c>
      <c r="H3" s="8">
        <v>705</v>
      </c>
      <c r="I3" s="8">
        <v>4</v>
      </c>
      <c r="J3" s="8">
        <v>4</v>
      </c>
      <c r="K3" s="9"/>
      <c r="N3" s="10" t="s">
        <v>270</v>
      </c>
      <c r="O3" s="11" t="s">
        <v>271</v>
      </c>
      <c r="P3" s="12" t="s">
        <v>272</v>
      </c>
      <c r="R3" s="70" t="s">
        <v>270</v>
      </c>
      <c r="S3" s="71" t="s">
        <v>271</v>
      </c>
      <c r="T3" s="72" t="s">
        <v>272</v>
      </c>
      <c r="V3" s="51" t="s">
        <v>330</v>
      </c>
      <c r="W3" s="525">
        <f>(2*20)/100</f>
        <v>0.4</v>
      </c>
      <c r="X3" s="52" t="s">
        <v>252</v>
      </c>
      <c r="Y3" s="74">
        <f>(100+5*(20/2))/100</f>
        <v>1.5</v>
      </c>
    </row>
    <row r="4" spans="2:25" ht="14.25" thickBot="1">
      <c r="B4" s="1456" t="s">
        <v>332</v>
      </c>
      <c r="C4" s="1457"/>
      <c r="D4" s="1457"/>
      <c r="E4" s="7" t="s">
        <v>243</v>
      </c>
      <c r="F4" s="8">
        <v>126</v>
      </c>
      <c r="G4" s="8"/>
      <c r="H4" s="8">
        <v>7</v>
      </c>
      <c r="I4" s="8"/>
      <c r="J4" s="8"/>
      <c r="K4" s="9"/>
      <c r="N4" s="14">
        <f>P4*D26</f>
        <v>8745.6024</v>
      </c>
      <c r="O4" s="15">
        <f>(P4+N4)/2</f>
        <v>9517.2732</v>
      </c>
      <c r="P4" s="16">
        <f>$Q$4*($F$29+INT(($F$29*($E$32+$K$52+$K$43-1))))/100</f>
        <v>10288.944</v>
      </c>
      <c r="Q4" s="402">
        <f>1.35*(4*$H$29+$G$29)</f>
        <v>5043.6</v>
      </c>
      <c r="R4" s="14">
        <f>N4*$G$48*(1-$G$45/100)</f>
        <v>6559.2018</v>
      </c>
      <c r="S4" s="15">
        <f>O4*$G$48*(1-$G$45/100)</f>
        <v>7137.9549</v>
      </c>
      <c r="T4" s="16">
        <f>P4*$G$48*(1-$G$45/100)</f>
        <v>7716.708</v>
      </c>
      <c r="V4" s="517" t="s">
        <v>1043</v>
      </c>
      <c r="W4" s="527">
        <f>MIN(INT(($R$4*Y3)*(1+$B$34+$E$34+$B$52+$K$35)),ReadMe!$M$99)</f>
        <v>9838</v>
      </c>
      <c r="X4" s="246" t="s">
        <v>976</v>
      </c>
      <c r="Y4" s="155">
        <f>MIN(INT(W4*E41),ReadMe!$M$99)</f>
        <v>13281</v>
      </c>
    </row>
    <row r="5" spans="2:25" ht="14.25" thickBot="1">
      <c r="B5" s="163" t="s">
        <v>244</v>
      </c>
      <c r="C5" s="397"/>
      <c r="D5" s="224">
        <v>6</v>
      </c>
      <c r="E5" s="7" t="s">
        <v>245</v>
      </c>
      <c r="F5" s="8"/>
      <c r="G5" s="8"/>
      <c r="H5" s="8"/>
      <c r="I5" s="8"/>
      <c r="J5" s="8"/>
      <c r="K5" s="9"/>
      <c r="V5" s="272" t="s">
        <v>1044</v>
      </c>
      <c r="W5" s="528">
        <f>INT((W4+W6)/2)</f>
        <v>10706</v>
      </c>
      <c r="X5" s="247" t="s">
        <v>977</v>
      </c>
      <c r="Y5" s="156">
        <f>MIN(INT(W5*(($E$41+$F$41)/2)),ReadMe!$M$99)</f>
        <v>16861</v>
      </c>
    </row>
    <row r="6" spans="2:25" ht="14.25" thickBot="1">
      <c r="B6" s="1519" t="s">
        <v>94</v>
      </c>
      <c r="C6" s="1520"/>
      <c r="D6" s="1537">
        <v>10</v>
      </c>
      <c r="E6" s="42" t="s">
        <v>246</v>
      </c>
      <c r="F6" s="8"/>
      <c r="G6" s="8">
        <v>10</v>
      </c>
      <c r="H6" s="8">
        <v>20</v>
      </c>
      <c r="I6" s="8">
        <v>10</v>
      </c>
      <c r="J6" s="8">
        <v>10</v>
      </c>
      <c r="K6" s="9">
        <v>10</v>
      </c>
      <c r="N6" s="1539" t="str">
        <f>IF(D6&gt;0,"アルティメットストレイフ","ストレイフ")</f>
        <v>アルティメットストレイフ</v>
      </c>
      <c r="O6" s="1540"/>
      <c r="P6" s="1540"/>
      <c r="Q6" s="1541"/>
      <c r="R6" s="282" t="s">
        <v>252</v>
      </c>
      <c r="S6" s="283">
        <f>IF(D6=0,180,185+D6*4)/100</f>
        <v>2.25</v>
      </c>
      <c r="T6" s="67"/>
      <c r="V6" s="274" t="s">
        <v>975</v>
      </c>
      <c r="W6" s="529">
        <f>MIN(INT(($T$4*Y3)*(1+$B$34+$E$34+$B$52+$K$35)),ReadMe!$M$99)</f>
        <v>11575</v>
      </c>
      <c r="X6" s="248" t="s">
        <v>978</v>
      </c>
      <c r="Y6" s="157">
        <f>MIN(INT(W6*F41),ReadMe!$M$99)</f>
        <v>20835</v>
      </c>
    </row>
    <row r="7" spans="2:25" ht="14.25" thickBot="1">
      <c r="B7" s="1438" t="s">
        <v>95</v>
      </c>
      <c r="C7" s="1439"/>
      <c r="D7" s="1538"/>
      <c r="E7" s="42" t="s">
        <v>247</v>
      </c>
      <c r="F7" s="8">
        <v>5</v>
      </c>
      <c r="G7" s="8"/>
      <c r="H7" s="8"/>
      <c r="I7" s="8"/>
      <c r="J7" s="8"/>
      <c r="K7" s="9"/>
      <c r="N7" s="1227" t="s">
        <v>304</v>
      </c>
      <c r="O7" s="76" t="s">
        <v>257</v>
      </c>
      <c r="P7" s="521">
        <f>MIN(INT(($R$4*S6)*(1+$B$34+$E$34+$B$52+$K$35)),ReadMe!$M$99)</f>
        <v>14758</v>
      </c>
      <c r="Q7" s="1447" t="s">
        <v>549</v>
      </c>
      <c r="R7" s="87" t="s">
        <v>257</v>
      </c>
      <c r="S7" s="519">
        <f>MIN(INT(P7*$E$41),ReadMe!$M$99)</f>
        <v>19923</v>
      </c>
      <c r="T7" s="57"/>
      <c r="V7" s="1493" t="s">
        <v>445</v>
      </c>
      <c r="W7" s="1494"/>
      <c r="X7" s="1495">
        <f>INT(W5*(1-G41)+Y5*G41)</f>
        <v>14706</v>
      </c>
      <c r="Y7" s="1496"/>
    </row>
    <row r="8" spans="2:19" ht="13.5" customHeight="1">
      <c r="B8" s="7" t="s">
        <v>455</v>
      </c>
      <c r="C8" s="43"/>
      <c r="D8" s="9">
        <v>30</v>
      </c>
      <c r="E8" s="42" t="s">
        <v>248</v>
      </c>
      <c r="F8" s="8">
        <v>2</v>
      </c>
      <c r="G8" s="8"/>
      <c r="H8" s="8">
        <v>2</v>
      </c>
      <c r="I8" s="8"/>
      <c r="J8" s="8"/>
      <c r="K8" s="9">
        <v>7</v>
      </c>
      <c r="N8" s="1228"/>
      <c r="O8" s="43" t="s">
        <v>258</v>
      </c>
      <c r="P8" s="522">
        <f>INT((P7+P9)/2)</f>
        <v>16060</v>
      </c>
      <c r="Q8" s="1448"/>
      <c r="R8" s="79" t="s">
        <v>258</v>
      </c>
      <c r="S8" s="156">
        <f>MIN(INT(P8*(($E$41+$F$41)/2)),ReadMe!$M$99)</f>
        <v>25294</v>
      </c>
    </row>
    <row r="9" spans="2:20" ht="14.25" thickBot="1">
      <c r="B9" s="617" t="s">
        <v>763</v>
      </c>
      <c r="C9" s="616"/>
      <c r="D9" s="9">
        <v>30</v>
      </c>
      <c r="E9" s="42" t="s">
        <v>249</v>
      </c>
      <c r="F9" s="8"/>
      <c r="G9" s="8">
        <v>7</v>
      </c>
      <c r="H9" s="8">
        <v>7</v>
      </c>
      <c r="I9" s="8">
        <v>7</v>
      </c>
      <c r="J9" s="8">
        <v>7</v>
      </c>
      <c r="K9" s="9"/>
      <c r="N9" s="1229"/>
      <c r="O9" s="15" t="s">
        <v>259</v>
      </c>
      <c r="P9" s="523">
        <f>MIN(INT(($T$4*S6)*(1+$B$34+$E$34+$B$52+$K$35)),ReadMe!$M$99)</f>
        <v>17362</v>
      </c>
      <c r="Q9" s="80" t="s">
        <v>309</v>
      </c>
      <c r="R9" s="86" t="s">
        <v>259</v>
      </c>
      <c r="S9" s="520">
        <f>MIN(INT(P9*$F$41),ReadMe!$M$99)</f>
        <v>31251</v>
      </c>
      <c r="T9" s="57"/>
    </row>
    <row r="10" spans="2:20" ht="14.25" thickBot="1">
      <c r="B10" s="5" t="s">
        <v>1101</v>
      </c>
      <c r="C10" s="68"/>
      <c r="D10" s="279">
        <v>1</v>
      </c>
      <c r="E10" s="42" t="s">
        <v>250</v>
      </c>
      <c r="F10" s="8"/>
      <c r="G10" s="8"/>
      <c r="H10" s="8">
        <v>10</v>
      </c>
      <c r="I10" s="8"/>
      <c r="J10" s="8"/>
      <c r="K10" s="9"/>
      <c r="N10" s="1434" t="s">
        <v>323</v>
      </c>
      <c r="O10" s="1435"/>
      <c r="P10" s="1435"/>
      <c r="Q10" s="1449">
        <f>INT(P8*(1-$G$41)+S8*$G$41)</f>
        <v>22062</v>
      </c>
      <c r="R10" s="1449"/>
      <c r="S10" s="1450"/>
      <c r="T10" s="57"/>
    </row>
    <row r="11" spans="2:20" ht="13.5">
      <c r="B11" s="218"/>
      <c r="C11" s="397"/>
      <c r="D11" s="219"/>
      <c r="E11" s="42" t="s">
        <v>698</v>
      </c>
      <c r="F11" s="8"/>
      <c r="G11" s="8">
        <v>10</v>
      </c>
      <c r="H11" s="8">
        <v>20</v>
      </c>
      <c r="I11" s="8"/>
      <c r="J11" s="8"/>
      <c r="K11" s="9">
        <v>11</v>
      </c>
      <c r="N11" s="1522" t="str">
        <f>IF(D6&gt;0,"6発合計","4発合計")</f>
        <v>6発合計</v>
      </c>
      <c r="O11" s="1523"/>
      <c r="P11" s="396" t="s">
        <v>257</v>
      </c>
      <c r="Q11" s="1227">
        <f>P7*IF($D$6&gt;0,6,4)</f>
        <v>88548</v>
      </c>
      <c r="R11" s="1510"/>
      <c r="S11" s="1511"/>
      <c r="T11" s="57"/>
    </row>
    <row r="12" spans="2:19" ht="14.25" thickBot="1">
      <c r="B12" s="22"/>
      <c r="C12" s="21"/>
      <c r="D12" s="138"/>
      <c r="E12" s="42" t="s">
        <v>587</v>
      </c>
      <c r="F12" s="8"/>
      <c r="G12" s="8"/>
      <c r="H12" s="8"/>
      <c r="I12" s="8"/>
      <c r="J12" s="8"/>
      <c r="K12" s="9"/>
      <c r="N12" s="1524"/>
      <c r="O12" s="1525"/>
      <c r="P12" s="493" t="s">
        <v>335</v>
      </c>
      <c r="Q12" s="1512">
        <f>$Q$10*IF($D$6&gt;0,6,4)</f>
        <v>132372</v>
      </c>
      <c r="R12" s="1513"/>
      <c r="S12" s="1514"/>
    </row>
    <row r="13" spans="2:26" ht="14.25" thickBot="1">
      <c r="B13" s="22"/>
      <c r="C13" s="21"/>
      <c r="D13" s="138"/>
      <c r="E13" s="42" t="s">
        <v>697</v>
      </c>
      <c r="F13" s="8"/>
      <c r="G13" s="8"/>
      <c r="H13" s="8"/>
      <c r="I13" s="8"/>
      <c r="J13" s="8"/>
      <c r="K13" s="9"/>
      <c r="N13" s="1526"/>
      <c r="O13" s="1527"/>
      <c r="P13" s="6" t="s">
        <v>259</v>
      </c>
      <c r="Q13" s="1229">
        <f>S9*IF($D$6&gt;0,6,4)</f>
        <v>187506</v>
      </c>
      <c r="R13" s="1515"/>
      <c r="S13" s="1516"/>
      <c r="U13" s="1158" t="s">
        <v>1308</v>
      </c>
      <c r="V13" s="1159"/>
      <c r="W13" s="1159"/>
      <c r="X13" s="1159"/>
      <c r="Y13" s="1159"/>
      <c r="Z13" s="1160"/>
    </row>
    <row r="14" spans="2:26" ht="14.25" thickBot="1">
      <c r="B14" s="22"/>
      <c r="C14" s="21"/>
      <c r="D14" s="138"/>
      <c r="E14" s="42" t="s">
        <v>260</v>
      </c>
      <c r="F14" s="8"/>
      <c r="G14" s="8">
        <v>5</v>
      </c>
      <c r="H14" s="8">
        <v>14</v>
      </c>
      <c r="I14" s="8"/>
      <c r="J14" s="8"/>
      <c r="K14" s="9"/>
      <c r="N14" s="1508" t="s">
        <v>244</v>
      </c>
      <c r="O14" s="1509"/>
      <c r="P14" s="65">
        <f>MAX(D5-K39,4)</f>
        <v>6</v>
      </c>
      <c r="Q14" s="1517" t="s">
        <v>267</v>
      </c>
      <c r="R14" s="1518"/>
      <c r="S14" s="73">
        <f>IF(P14=4,93,IF(P14=5,87,IF(P14=6,83,)))</f>
        <v>83</v>
      </c>
      <c r="U14" s="1497" t="s">
        <v>1080</v>
      </c>
      <c r="V14" s="1498"/>
      <c r="W14" s="1497" t="s">
        <v>1081</v>
      </c>
      <c r="X14" s="1499"/>
      <c r="Y14" s="1498" t="s">
        <v>1082</v>
      </c>
      <c r="Z14" s="1499"/>
    </row>
    <row r="15" spans="2:26" ht="14.25" thickBot="1">
      <c r="B15" s="22"/>
      <c r="C15" s="21"/>
      <c r="D15" s="138"/>
      <c r="E15" s="42" t="s">
        <v>261</v>
      </c>
      <c r="F15" s="8">
        <v>15</v>
      </c>
      <c r="G15" s="8"/>
      <c r="H15" s="8"/>
      <c r="I15" s="8"/>
      <c r="J15" s="8"/>
      <c r="K15" s="9"/>
      <c r="N15" s="1342" t="s">
        <v>1246</v>
      </c>
      <c r="O15" s="1420"/>
      <c r="P15" s="1421"/>
      <c r="Q15" s="1488">
        <f>(Q12*S14+X7*S14*W3)*$G$47</f>
        <v>11475115.2</v>
      </c>
      <c r="R15" s="1488"/>
      <c r="S15" s="1528"/>
      <c r="U15" s="1475">
        <f>INT($Q$15-$Q$12*$P$48)+$O$50*$S$48</f>
        <v>11580889</v>
      </c>
      <c r="V15" s="1476"/>
      <c r="W15" s="1475">
        <f>INT($Q$15-$Q$12*$P$48)+$Q$50*$S$48</f>
        <v>11756949</v>
      </c>
      <c r="X15" s="1476"/>
      <c r="Y15" s="1475">
        <f>INT($Q$15-$Q$12*$P$48)+$S$50*$S$48</f>
        <v>11933009</v>
      </c>
      <c r="Z15" s="1476"/>
    </row>
    <row r="16" spans="2:19" ht="14.25" thickBot="1">
      <c r="B16" s="22"/>
      <c r="C16" s="21"/>
      <c r="D16" s="138"/>
      <c r="E16" s="42" t="s">
        <v>262</v>
      </c>
      <c r="F16" s="8">
        <v>4</v>
      </c>
      <c r="G16" s="8">
        <v>8</v>
      </c>
      <c r="H16" s="8"/>
      <c r="I16" s="8"/>
      <c r="J16" s="8"/>
      <c r="K16" s="9"/>
      <c r="N16" s="1158" t="s">
        <v>764</v>
      </c>
      <c r="O16" s="1159"/>
      <c r="P16" s="1159"/>
      <c r="Q16" s="1159"/>
      <c r="R16" s="1159"/>
      <c r="S16" s="1160"/>
    </row>
    <row r="17" spans="2:20" ht="14.25" thickBot="1">
      <c r="B17" s="22"/>
      <c r="C17" s="21"/>
      <c r="D17" s="138"/>
      <c r="E17" s="42" t="s">
        <v>5</v>
      </c>
      <c r="F17" s="8"/>
      <c r="G17" s="8">
        <v>3</v>
      </c>
      <c r="H17" s="8">
        <v>3</v>
      </c>
      <c r="I17" s="8">
        <v>3</v>
      </c>
      <c r="J17" s="8">
        <v>3</v>
      </c>
      <c r="K17" s="9"/>
      <c r="N17" s="974" t="s">
        <v>238</v>
      </c>
      <c r="O17" s="983">
        <f>D9</f>
        <v>30</v>
      </c>
      <c r="P17" t="s">
        <v>252</v>
      </c>
      <c r="Q17" s="50">
        <f>(O17*10+600)/100</f>
        <v>9</v>
      </c>
      <c r="R17" s="981" t="s">
        <v>874</v>
      </c>
      <c r="S17" s="984">
        <f>MAX(20-5*ROUNDDOWN(D9/10,0),7.5)</f>
        <v>7.5</v>
      </c>
      <c r="T17" t="s">
        <v>1064</v>
      </c>
    </row>
    <row r="18" spans="2:20" ht="13.5">
      <c r="B18" s="22"/>
      <c r="C18" s="21"/>
      <c r="D18" s="138"/>
      <c r="E18" s="42" t="s">
        <v>5</v>
      </c>
      <c r="F18" s="8">
        <v>1</v>
      </c>
      <c r="G18" s="8">
        <v>1</v>
      </c>
      <c r="H18" s="8">
        <v>1</v>
      </c>
      <c r="I18" s="8">
        <v>1</v>
      </c>
      <c r="J18" s="8">
        <v>1</v>
      </c>
      <c r="K18" s="9"/>
      <c r="N18" s="1234" t="s">
        <v>549</v>
      </c>
      <c r="O18" s="186" t="s">
        <v>257</v>
      </c>
      <c r="P18" s="733">
        <f>MIN(INT(T18*$E$41),ReadMe!$M$99)</f>
        <v>79693</v>
      </c>
      <c r="Q18" s="1227" t="s">
        <v>115</v>
      </c>
      <c r="R18" s="987" t="s">
        <v>257</v>
      </c>
      <c r="S18" s="4">
        <f>P18*4</f>
        <v>318772</v>
      </c>
      <c r="T18" s="403">
        <f>MIN(INT(($R$4*Q17)*(1+$B$34+$E$34+$B$52+$K$35)),ReadMe!$M$99)</f>
        <v>59032</v>
      </c>
    </row>
    <row r="19" spans="2:20" ht="14.25" thickBot="1">
      <c r="B19" s="47"/>
      <c r="C19" s="491"/>
      <c r="D19" s="220"/>
      <c r="E19" s="42" t="s">
        <v>5</v>
      </c>
      <c r="F19" s="8">
        <v>1</v>
      </c>
      <c r="G19" s="8">
        <v>1</v>
      </c>
      <c r="H19" s="8">
        <v>1</v>
      </c>
      <c r="I19" s="8">
        <v>1</v>
      </c>
      <c r="J19" s="8">
        <v>1</v>
      </c>
      <c r="K19" s="9"/>
      <c r="N19" s="1235"/>
      <c r="O19" s="79" t="s">
        <v>258</v>
      </c>
      <c r="P19" s="156">
        <f>MIN(INT(T19*(($E$41+$F$41)/2)),ReadMe!$M$99)</f>
        <v>101179</v>
      </c>
      <c r="Q19" s="1228"/>
      <c r="R19" s="261" t="s">
        <v>335</v>
      </c>
      <c r="S19" s="618">
        <f>P19*4</f>
        <v>404716</v>
      </c>
      <c r="T19" s="403">
        <f>INT((T18+T20)/2)</f>
        <v>64241</v>
      </c>
    </row>
    <row r="20" spans="2:20" ht="14.25" thickBot="1">
      <c r="B20" s="1438" t="s">
        <v>194</v>
      </c>
      <c r="C20" s="1439"/>
      <c r="D20" s="1135">
        <v>0</v>
      </c>
      <c r="E20" s="42" t="s">
        <v>5</v>
      </c>
      <c r="F20" s="8"/>
      <c r="G20" s="8"/>
      <c r="H20" s="8"/>
      <c r="I20" s="8"/>
      <c r="J20" s="8"/>
      <c r="K20" s="9"/>
      <c r="N20" s="1236"/>
      <c r="O20" s="86" t="s">
        <v>259</v>
      </c>
      <c r="P20" s="735">
        <f>MIN(INT(T20*$F$41),ReadMe!$M$99)</f>
        <v>125010</v>
      </c>
      <c r="Q20" s="1229"/>
      <c r="R20" s="988" t="s">
        <v>259</v>
      </c>
      <c r="S20" s="16">
        <f>P20*4</f>
        <v>500040</v>
      </c>
      <c r="T20" s="403">
        <f>MIN(INT(($T$4*Q17)*(1+$B$34+$E$34+$B$52+$K$35)),ReadMe!$M$99)</f>
        <v>69450</v>
      </c>
    </row>
    <row r="21" spans="2:26" ht="14.25" thickBot="1">
      <c r="B21" s="1438" t="s">
        <v>195</v>
      </c>
      <c r="C21" s="1439"/>
      <c r="D21" s="1440"/>
      <c r="E21" s="42" t="s">
        <v>1305</v>
      </c>
      <c r="F21" s="8"/>
      <c r="G21" s="8">
        <v>2</v>
      </c>
      <c r="H21" s="8">
        <v>2</v>
      </c>
      <c r="I21" s="8">
        <v>2</v>
      </c>
      <c r="J21" s="8">
        <v>2</v>
      </c>
      <c r="K21" s="9"/>
      <c r="N21" s="193" t="s">
        <v>766</v>
      </c>
      <c r="O21" s="194">
        <f>60/S17</f>
        <v>8</v>
      </c>
      <c r="P21" s="195" t="s">
        <v>767</v>
      </c>
      <c r="Q21" s="985" t="s">
        <v>268</v>
      </c>
      <c r="R21" s="52"/>
      <c r="S21" s="986">
        <f>S19*60/S17</f>
        <v>3237728</v>
      </c>
      <c r="U21" s="1158" t="s">
        <v>1309</v>
      </c>
      <c r="V21" s="1159"/>
      <c r="W21" s="1159"/>
      <c r="X21" s="1159"/>
      <c r="Y21" s="1159"/>
      <c r="Z21" s="1160"/>
    </row>
    <row r="22" spans="2:26" ht="14.25" thickBot="1">
      <c r="B22" s="1505" t="s">
        <v>161</v>
      </c>
      <c r="C22" s="1506"/>
      <c r="D22" s="28">
        <f>(D20*2)/100</f>
        <v>0</v>
      </c>
      <c r="E22" s="7" t="s">
        <v>1307</v>
      </c>
      <c r="F22" s="8"/>
      <c r="G22" s="8">
        <v>3</v>
      </c>
      <c r="H22" s="8">
        <v>3</v>
      </c>
      <c r="I22" s="8">
        <v>3</v>
      </c>
      <c r="J22" s="8">
        <v>3</v>
      </c>
      <c r="K22" s="9"/>
      <c r="N22" s="1519" t="s">
        <v>768</v>
      </c>
      <c r="O22" s="1520"/>
      <c r="P22" s="1521"/>
      <c r="Q22" s="456"/>
      <c r="R22" s="456"/>
      <c r="S22" s="457"/>
      <c r="U22" s="1497" t="s">
        <v>1080</v>
      </c>
      <c r="V22" s="1498"/>
      <c r="W22" s="1497" t="s">
        <v>1081</v>
      </c>
      <c r="X22" s="1499"/>
      <c r="Y22" s="1498" t="s">
        <v>1082</v>
      </c>
      <c r="Z22" s="1499"/>
    </row>
    <row r="23" spans="2:26" ht="14.25" thickBot="1">
      <c r="B23" s="1342" t="s">
        <v>324</v>
      </c>
      <c r="C23" s="1343"/>
      <c r="D23" s="69">
        <v>0</v>
      </c>
      <c r="E23" s="7" t="s">
        <v>181</v>
      </c>
      <c r="F23" s="8"/>
      <c r="G23" s="8"/>
      <c r="H23" s="8"/>
      <c r="I23" s="8"/>
      <c r="J23" s="8"/>
      <c r="K23" s="9"/>
      <c r="N23" s="1458" t="s">
        <v>1248</v>
      </c>
      <c r="O23" s="1459"/>
      <c r="P23" s="1536"/>
      <c r="Q23" s="1487">
        <f>((Q15-Q12*O21)+S21+X7*(S14-O21)*W3)*G47</f>
        <v>14095047.2</v>
      </c>
      <c r="R23" s="1488"/>
      <c r="S23" s="1528"/>
      <c r="U23" s="1475">
        <f>INT($Q$23-$Q$12*$P$48)+$O$50*$S$48</f>
        <v>14200821</v>
      </c>
      <c r="V23" s="1476"/>
      <c r="W23" s="1475">
        <f>INT($Q$23-$Q$12*$P$48)+$Q$50*$S$48</f>
        <v>14376881</v>
      </c>
      <c r="X23" s="1476"/>
      <c r="Y23" s="1475">
        <f>INT($Q$23-$Q$12*$P$48)+$S$50*$S$48</f>
        <v>14552941</v>
      </c>
      <c r="Z23" s="1476"/>
    </row>
    <row r="24" spans="2:11" ht="14.25" thickBot="1">
      <c r="B24" s="10" t="s">
        <v>441</v>
      </c>
      <c r="C24" s="552"/>
      <c r="D24" s="20">
        <v>30</v>
      </c>
      <c r="E24" s="7" t="s">
        <v>12</v>
      </c>
      <c r="F24" s="8"/>
      <c r="G24" s="8"/>
      <c r="H24" s="8"/>
      <c r="I24" s="8"/>
      <c r="J24" s="8"/>
      <c r="K24" s="9"/>
    </row>
    <row r="25" spans="2:21" ht="14.25" thickBot="1">
      <c r="B25" s="1501" t="s">
        <v>325</v>
      </c>
      <c r="C25" s="1502"/>
      <c r="D25" s="62">
        <f>D24</f>
        <v>30</v>
      </c>
      <c r="E25" s="7" t="s">
        <v>1153</v>
      </c>
      <c r="F25" s="8">
        <v>20</v>
      </c>
      <c r="G25" s="8"/>
      <c r="H25" s="8"/>
      <c r="I25" s="8"/>
      <c r="J25" s="8"/>
      <c r="K25" s="9"/>
      <c r="N25" s="1158" t="s">
        <v>456</v>
      </c>
      <c r="O25" s="1159"/>
      <c r="P25" s="1159"/>
      <c r="Q25" s="1159"/>
      <c r="R25" s="1159"/>
      <c r="S25" s="1159"/>
      <c r="T25" s="1104" t="s">
        <v>267</v>
      </c>
      <c r="U25" s="96"/>
    </row>
    <row r="26" spans="2:21" ht="14.25" thickBot="1">
      <c r="B26" s="1503" t="s">
        <v>310</v>
      </c>
      <c r="C26" s="1504"/>
      <c r="D26" s="81">
        <f>IF(D24=0,P54,(P54-0.5)+(55+ROUNDUP($D$24/2,0))/100)</f>
        <v>0.85</v>
      </c>
      <c r="E26" s="7" t="s">
        <v>714</v>
      </c>
      <c r="F26" s="8"/>
      <c r="G26" s="8"/>
      <c r="H26" s="8"/>
      <c r="I26" s="8"/>
      <c r="J26" s="8"/>
      <c r="K26" s="9"/>
      <c r="N26" s="263" t="s">
        <v>443</v>
      </c>
      <c r="O26" s="65">
        <f>D8</f>
        <v>30</v>
      </c>
      <c r="P26" s="163" t="s">
        <v>252</v>
      </c>
      <c r="Q26" s="264">
        <f>(D8*15+700)/100</f>
        <v>11.5</v>
      </c>
      <c r="R26" s="163" t="s">
        <v>333</v>
      </c>
      <c r="S26" s="165">
        <f>IF(O26&gt;=21,6,IF(O26&gt;=11,5,IF(O26&gt;=1,4,0)))</f>
        <v>6</v>
      </c>
      <c r="T26" s="1105">
        <f>32</f>
        <v>32</v>
      </c>
      <c r="U26" s="57"/>
    </row>
    <row r="27" spans="2:20" ht="14.25" thickBot="1">
      <c r="B27" s="1428" t="s">
        <v>442</v>
      </c>
      <c r="C27" s="1429"/>
      <c r="D27" s="2">
        <v>9</v>
      </c>
      <c r="E27" s="216" t="s">
        <v>1310</v>
      </c>
      <c r="F27" s="8"/>
      <c r="G27" s="40">
        <f>ROUNDDOWN(G3*D28%,0)</f>
        <v>3</v>
      </c>
      <c r="H27" s="40">
        <f>ROUNDDOWN(H3*D28%,0)</f>
        <v>35</v>
      </c>
      <c r="I27" s="40">
        <f>ROUNDDOWN(I3*D28%,0)</f>
        <v>0</v>
      </c>
      <c r="J27" s="40">
        <f>ROUNDDOWN(J3*D28%,0)</f>
        <v>0</v>
      </c>
      <c r="K27" s="9">
        <v>120</v>
      </c>
      <c r="N27" s="17" t="s">
        <v>334</v>
      </c>
      <c r="O27" s="32">
        <v>1</v>
      </c>
      <c r="P27" s="32">
        <v>2</v>
      </c>
      <c r="Q27" s="32">
        <v>3</v>
      </c>
      <c r="R27" s="32">
        <v>4</v>
      </c>
      <c r="S27" s="32">
        <v>5</v>
      </c>
      <c r="T27" s="1103">
        <v>6</v>
      </c>
    </row>
    <row r="28" spans="2:20" ht="14.25" thickBot="1">
      <c r="B28" s="14" t="s">
        <v>263</v>
      </c>
      <c r="C28" s="538"/>
      <c r="D28" s="46">
        <f>ROUNDUP(D27/2,0)</f>
        <v>5</v>
      </c>
      <c r="E28" s="7" t="s">
        <v>264</v>
      </c>
      <c r="F28" s="43">
        <f>D25+D29</f>
        <v>30</v>
      </c>
      <c r="G28" s="43">
        <f>SUM(G4:G26)</f>
        <v>50</v>
      </c>
      <c r="H28" s="43">
        <f>SUM(H4:H26)</f>
        <v>90</v>
      </c>
      <c r="I28" s="43">
        <f>SUM(I4:I26)</f>
        <v>27</v>
      </c>
      <c r="J28" s="43">
        <f>SUM(J4:J26)</f>
        <v>27</v>
      </c>
      <c r="K28" s="44">
        <f>SUM(K3:K27)+D29</f>
        <v>148</v>
      </c>
      <c r="N28" s="793" t="s">
        <v>252</v>
      </c>
      <c r="O28" s="1110">
        <f>Q26</f>
        <v>11.5</v>
      </c>
      <c r="P28" s="1111">
        <f>$Q$26*1.2^(P27-1)</f>
        <v>13.799999999999999</v>
      </c>
      <c r="Q28" s="1111">
        <f>$Q$26*1.2^(Q27-1)</f>
        <v>16.56</v>
      </c>
      <c r="R28" s="1111">
        <f>$Q$26*1.2^(R27-1)</f>
        <v>19.872</v>
      </c>
      <c r="S28" s="1111">
        <f>IF($S$26&gt;=5,$Q$26*1.2^(S27-1),0)</f>
        <v>23.8464</v>
      </c>
      <c r="T28" s="601">
        <f>IF($S$26&gt;=6,$Q$26*1.2^(T27-1),0)</f>
        <v>28.615679999999998</v>
      </c>
    </row>
    <row r="29" spans="2:20" ht="14.25" thickBot="1">
      <c r="B29" s="17" t="s">
        <v>1378</v>
      </c>
      <c r="C29" s="195"/>
      <c r="D29" s="313">
        <v>0</v>
      </c>
      <c r="E29" s="14" t="s">
        <v>256</v>
      </c>
      <c r="F29" s="48">
        <f>D23+SUM(F4:F28)</f>
        <v>204</v>
      </c>
      <c r="G29" s="546">
        <f>INT((G3+G27+G28)*(1+G32))</f>
        <v>120</v>
      </c>
      <c r="H29" s="546">
        <f>INT((H3+H27+H28)*(1+H32))</f>
        <v>904</v>
      </c>
      <c r="I29" s="546">
        <f>INT((I3+I27+I28)*(1+I32))</f>
        <v>31</v>
      </c>
      <c r="J29" s="546">
        <f>INT((J3+J27+J28)*(1+J32))</f>
        <v>31</v>
      </c>
      <c r="K29" s="547">
        <f>($G$29*0.4+$J$29*0.8+$H$29*1.6+K28)*(1+K32)</f>
        <v>1667.2</v>
      </c>
      <c r="N29" s="1112" t="s">
        <v>1043</v>
      </c>
      <c r="O29" s="636">
        <f aca="true" t="shared" si="0" ref="O29:T29">INT($R$4*O28*(1+$B$34+$E$34+$B$52+$K$35))</f>
        <v>75430</v>
      </c>
      <c r="P29" s="1031">
        <f t="shared" si="0"/>
        <v>90516</v>
      </c>
      <c r="Q29" s="1031">
        <f t="shared" si="0"/>
        <v>108620</v>
      </c>
      <c r="R29" s="1031">
        <f t="shared" si="0"/>
        <v>130344</v>
      </c>
      <c r="S29" s="1031">
        <f t="shared" si="0"/>
        <v>156413</v>
      </c>
      <c r="T29" s="1032">
        <f t="shared" si="0"/>
        <v>187696</v>
      </c>
    </row>
    <row r="30" spans="2:20" ht="14.25" thickBot="1">
      <c r="B30" s="1305" t="s">
        <v>981</v>
      </c>
      <c r="C30" s="1306"/>
      <c r="D30" s="1306"/>
      <c r="E30" s="1306"/>
      <c r="F30" s="1306"/>
      <c r="G30" s="1306"/>
      <c r="H30" s="1306"/>
      <c r="I30" s="1306"/>
      <c r="J30" s="1306"/>
      <c r="K30" s="1307"/>
      <c r="N30" s="1028" t="s">
        <v>976</v>
      </c>
      <c r="O30" s="641">
        <f aca="true" t="shared" si="1" ref="O30:T30">INT(O29*$E$41)</f>
        <v>101830</v>
      </c>
      <c r="P30" s="642">
        <f t="shared" si="1"/>
        <v>122196</v>
      </c>
      <c r="Q30" s="642">
        <f t="shared" si="1"/>
        <v>146637</v>
      </c>
      <c r="R30" s="642">
        <f t="shared" si="1"/>
        <v>175964</v>
      </c>
      <c r="S30" s="642">
        <f t="shared" si="1"/>
        <v>211157</v>
      </c>
      <c r="T30" s="156">
        <f t="shared" si="1"/>
        <v>253389</v>
      </c>
    </row>
    <row r="31" spans="2:20" ht="13.5">
      <c r="B31" s="1218" t="s">
        <v>762</v>
      </c>
      <c r="C31" s="1219"/>
      <c r="D31" s="1220"/>
      <c r="E31" s="1308" t="s">
        <v>982</v>
      </c>
      <c r="F31" s="1309"/>
      <c r="G31" s="1" t="s">
        <v>986</v>
      </c>
      <c r="H31" s="3" t="s">
        <v>985</v>
      </c>
      <c r="I31" s="3" t="s">
        <v>984</v>
      </c>
      <c r="J31" s="3" t="s">
        <v>983</v>
      </c>
      <c r="K31" s="4" t="s">
        <v>987</v>
      </c>
      <c r="N31" s="1113" t="s">
        <v>1045</v>
      </c>
      <c r="O31" s="1116">
        <f aca="true" t="shared" si="2" ref="O31:T31">INT($T$4*O28*(1+$B$34+$E$34+$B$52+$K$35))</f>
        <v>88742</v>
      </c>
      <c r="P31" s="362">
        <f t="shared" si="2"/>
        <v>106490</v>
      </c>
      <c r="Q31" s="362">
        <f t="shared" si="2"/>
        <v>127788</v>
      </c>
      <c r="R31" s="362">
        <f t="shared" si="2"/>
        <v>153346</v>
      </c>
      <c r="S31" s="362">
        <f t="shared" si="2"/>
        <v>184015</v>
      </c>
      <c r="T31" s="223">
        <f t="shared" si="2"/>
        <v>220818</v>
      </c>
    </row>
    <row r="32" spans="2:20" ht="14.25" thickBot="1">
      <c r="B32" s="1210">
        <v>0</v>
      </c>
      <c r="C32" s="1211"/>
      <c r="D32" s="1212"/>
      <c r="E32" s="1130">
        <v>0</v>
      </c>
      <c r="F32" s="1131"/>
      <c r="G32" s="542">
        <v>0</v>
      </c>
      <c r="H32" s="543">
        <v>0.09</v>
      </c>
      <c r="I32" s="543">
        <v>0</v>
      </c>
      <c r="J32" s="543">
        <v>0</v>
      </c>
      <c r="K32" s="544">
        <v>0</v>
      </c>
      <c r="N32" s="1028" t="s">
        <v>863</v>
      </c>
      <c r="O32" s="641">
        <f aca="true" t="shared" si="3" ref="O32:T32">INT(O31*$F$41)</f>
        <v>159735</v>
      </c>
      <c r="P32" s="642">
        <f t="shared" si="3"/>
        <v>191682</v>
      </c>
      <c r="Q32" s="642">
        <f t="shared" si="3"/>
        <v>230018</v>
      </c>
      <c r="R32" s="642">
        <f t="shared" si="3"/>
        <v>276022</v>
      </c>
      <c r="S32" s="642">
        <f t="shared" si="3"/>
        <v>331227</v>
      </c>
      <c r="T32" s="156">
        <f t="shared" si="3"/>
        <v>397472</v>
      </c>
    </row>
    <row r="33" spans="2:20" ht="14.25" thickBot="1">
      <c r="B33" s="1221" t="s">
        <v>135</v>
      </c>
      <c r="C33" s="1166"/>
      <c r="D33" s="1177"/>
      <c r="E33" s="1261" t="s">
        <v>877</v>
      </c>
      <c r="F33" s="1262"/>
      <c r="N33" s="1114" t="s">
        <v>1044</v>
      </c>
      <c r="O33" s="1116">
        <f aca="true" t="shared" si="4" ref="O33:T33">INT((O29+O31)/2)</f>
        <v>82086</v>
      </c>
      <c r="P33" s="362">
        <f t="shared" si="4"/>
        <v>98503</v>
      </c>
      <c r="Q33" s="362">
        <f t="shared" si="4"/>
        <v>118204</v>
      </c>
      <c r="R33" s="362">
        <f t="shared" si="4"/>
        <v>141845</v>
      </c>
      <c r="S33" s="362">
        <f t="shared" si="4"/>
        <v>170214</v>
      </c>
      <c r="T33" s="223">
        <f t="shared" si="4"/>
        <v>204257</v>
      </c>
    </row>
    <row r="34" spans="2:20" ht="14.25" thickBot="1">
      <c r="B34" s="1210">
        <v>0</v>
      </c>
      <c r="C34" s="1222"/>
      <c r="D34" s="1212"/>
      <c r="E34" s="1130">
        <v>0</v>
      </c>
      <c r="F34" s="1131"/>
      <c r="I34" s="1297" t="s">
        <v>1417</v>
      </c>
      <c r="J34" s="1298"/>
      <c r="K34" s="1299"/>
      <c r="N34" s="1028" t="s">
        <v>977</v>
      </c>
      <c r="O34" s="641">
        <f>MIN(INT(O33*(($E$41+$F$41)/2)),ReadMe!$M$99)</f>
        <v>129285</v>
      </c>
      <c r="P34" s="642">
        <f>MIN(INT(P33*(($E$41+$F$41)/2)),ReadMe!$M$99)</f>
        <v>155142</v>
      </c>
      <c r="Q34" s="642">
        <f>MIN(INT(Q33*(($E$41+$F$41)/2)),ReadMe!$M$99)</f>
        <v>186171</v>
      </c>
      <c r="R34" s="642">
        <f>MIN(INT(R33*(($E$41+$F$41)/2)),ReadMe!$M$99)</f>
        <v>223405</v>
      </c>
      <c r="S34" s="642">
        <f>MIN(INT(S33*(($E$41+$F$41)/2)),ReadMe!$M$99)</f>
        <v>268087</v>
      </c>
      <c r="T34" s="156">
        <f>MIN(INT(T33*(($E$41+$F$41)/2)),ReadMe!$M$99)</f>
        <v>321704</v>
      </c>
    </row>
    <row r="35" spans="9:20" ht="14.25" thickBot="1">
      <c r="I35" s="14" t="s">
        <v>1410</v>
      </c>
      <c r="J35" s="15"/>
      <c r="K35" s="534">
        <v>0</v>
      </c>
      <c r="N35" s="1115" t="s">
        <v>335</v>
      </c>
      <c r="O35" s="1117">
        <f aca="true" t="shared" si="5" ref="O35:T35">INT(O33*(1-$G$41)+O34*$G$41)</f>
        <v>112765</v>
      </c>
      <c r="P35" s="370">
        <f t="shared" si="5"/>
        <v>135318</v>
      </c>
      <c r="Q35" s="370">
        <f t="shared" si="5"/>
        <v>162382</v>
      </c>
      <c r="R35" s="370">
        <f t="shared" si="5"/>
        <v>194859</v>
      </c>
      <c r="S35" s="370">
        <f t="shared" si="5"/>
        <v>233831</v>
      </c>
      <c r="T35" s="671">
        <f t="shared" si="5"/>
        <v>280597</v>
      </c>
    </row>
    <row r="36" spans="2:20" ht="14.25" thickBot="1">
      <c r="B36" s="1280" t="s">
        <v>88</v>
      </c>
      <c r="C36" s="1281"/>
      <c r="D36" s="1281"/>
      <c r="E36" s="503" t="s">
        <v>257</v>
      </c>
      <c r="F36" s="19" t="s">
        <v>259</v>
      </c>
      <c r="G36" s="504" t="s">
        <v>1085</v>
      </c>
      <c r="N36" s="1118" t="s">
        <v>726</v>
      </c>
      <c r="O36" s="1119">
        <f>O35</f>
        <v>112765</v>
      </c>
      <c r="P36" s="1120">
        <f>O36+P35</f>
        <v>248083</v>
      </c>
      <c r="Q36" s="1120">
        <f>P36+Q35</f>
        <v>410465</v>
      </c>
      <c r="R36" s="1120">
        <f>Q36+R35</f>
        <v>605324</v>
      </c>
      <c r="S36" s="1120">
        <f>R36+S35</f>
        <v>839155</v>
      </c>
      <c r="T36" s="1121">
        <f>S36+T35</f>
        <v>1119752</v>
      </c>
    </row>
    <row r="37" spans="2:20" ht="14.25" thickBot="1">
      <c r="B37" s="1213" t="s">
        <v>90</v>
      </c>
      <c r="C37" s="1214"/>
      <c r="D37" s="1215"/>
      <c r="E37" s="35">
        <f>(120+ROUNDUP(D24/2,0))/100</f>
        <v>1.35</v>
      </c>
      <c r="F37" s="507">
        <v>1.5</v>
      </c>
      <c r="G37" s="241">
        <f>(S54*2+5)/100</f>
        <v>0.45</v>
      </c>
      <c r="I37" s="1256" t="s">
        <v>438</v>
      </c>
      <c r="J37" s="1300"/>
      <c r="K37" s="1301"/>
      <c r="N37" s="1122" t="s">
        <v>130</v>
      </c>
      <c r="O37" s="1123">
        <f aca="true" t="shared" si="6" ref="O37:T37">O36*$T$26+$X$7*$T$26*$W$3</f>
        <v>3796716.8</v>
      </c>
      <c r="P37" s="1124">
        <f t="shared" si="6"/>
        <v>8126892.8</v>
      </c>
      <c r="Q37" s="1124">
        <f t="shared" si="6"/>
        <v>13323116.8</v>
      </c>
      <c r="R37" s="1124">
        <f t="shared" si="6"/>
        <v>19558604.8</v>
      </c>
      <c r="S37" s="1124">
        <f t="shared" si="6"/>
        <v>27041196.8</v>
      </c>
      <c r="T37" s="1125">
        <f t="shared" si="6"/>
        <v>36020300.8</v>
      </c>
    </row>
    <row r="38" spans="2:20" ht="14.25" thickBot="1">
      <c r="B38" s="1228" t="s">
        <v>86</v>
      </c>
      <c r="C38" s="1284"/>
      <c r="D38" s="516">
        <v>30</v>
      </c>
      <c r="E38" s="506"/>
      <c r="F38" s="505">
        <f>D38/100</f>
        <v>0.3</v>
      </c>
      <c r="G38" s="511">
        <f>IF(D38=0,0,(5+ROUNDUP(D38/2,0))/100)</f>
        <v>0.2</v>
      </c>
      <c r="I38" s="1256" t="s">
        <v>440</v>
      </c>
      <c r="J38" s="1257"/>
      <c r="K38" s="1258"/>
      <c r="N38" s="1106" t="s">
        <v>593</v>
      </c>
      <c r="O38" s="1107">
        <f aca="true" t="shared" si="7" ref="O38:T38">(O37-(0.723*$O$21/(60/$T$26))*O36+$S$21+$X$7*$W$3*($T$26-(0.723*$O$21/(60/$T$26))))*$G$47</f>
        <v>6856678.10048</v>
      </c>
      <c r="P38" s="1108">
        <f t="shared" si="7"/>
        <v>10769425.13408</v>
      </c>
      <c r="Q38" s="1108">
        <f t="shared" si="7"/>
        <v>15464733.14048</v>
      </c>
      <c r="R38" s="1108">
        <f t="shared" si="7"/>
        <v>21099120.09728</v>
      </c>
      <c r="S38" s="1108">
        <f t="shared" si="7"/>
        <v>27860390.22848</v>
      </c>
      <c r="T38" s="1109">
        <f t="shared" si="7"/>
        <v>35973908.60288</v>
      </c>
    </row>
    <row r="39" spans="1:11" ht="14.25" thickBot="1">
      <c r="A39" s="402" t="b">
        <v>0</v>
      </c>
      <c r="B39" s="1228" t="s">
        <v>87</v>
      </c>
      <c r="C39" s="1284"/>
      <c r="D39" s="512"/>
      <c r="E39" s="506"/>
      <c r="F39" s="505">
        <f>IF(H39="true",0.15,0)</f>
        <v>0</v>
      </c>
      <c r="G39" s="511">
        <f>IF(H39="true",0.1,0)</f>
        <v>0</v>
      </c>
      <c r="H39" s="402" t="str">
        <f>IF(A39=TRUE,"TRUE",IF(D39=1,"TRUE","FLASE"))</f>
        <v>FLASE</v>
      </c>
      <c r="I39" s="771" t="s">
        <v>437</v>
      </c>
      <c r="J39" s="205"/>
      <c r="K39" s="228">
        <v>0</v>
      </c>
    </row>
    <row r="40" spans="2:19" ht="14.25" thickBot="1">
      <c r="B40" s="1285" t="s">
        <v>89</v>
      </c>
      <c r="C40" s="1286"/>
      <c r="D40" s="1287"/>
      <c r="E40" s="513">
        <v>0</v>
      </c>
      <c r="F40" s="514">
        <v>0</v>
      </c>
      <c r="G40" s="515">
        <v>0</v>
      </c>
      <c r="N40" s="1158" t="s">
        <v>997</v>
      </c>
      <c r="O40" s="1159"/>
      <c r="P40" s="1159"/>
      <c r="Q40" s="1160"/>
      <c r="R40" s="282" t="s">
        <v>252</v>
      </c>
      <c r="S40" s="283">
        <f>(280+4*30)/100</f>
        <v>4</v>
      </c>
    </row>
    <row r="41" spans="2:19" ht="14.25" thickBot="1">
      <c r="B41" s="1290" t="s">
        <v>91</v>
      </c>
      <c r="C41" s="1291"/>
      <c r="D41" s="1292"/>
      <c r="E41" s="508">
        <f>E37+E39+E40</f>
        <v>1.35</v>
      </c>
      <c r="F41" s="509">
        <f>F37+MAX(F38,F39)+F40</f>
        <v>1.8</v>
      </c>
      <c r="G41" s="510">
        <f>G37+MAX(G38,G39)+G40</f>
        <v>0.65</v>
      </c>
      <c r="I41" s="1259" t="s">
        <v>128</v>
      </c>
      <c r="J41" s="1260"/>
      <c r="K41" s="791"/>
      <c r="L41" s="402" t="b">
        <v>0</v>
      </c>
      <c r="M41" s="486" t="str">
        <f>IF(L41=TRUE,"TRUE",IF(K41=1,"TRUE","FLASE"))</f>
        <v>FLASE</v>
      </c>
      <c r="N41" s="1227" t="s">
        <v>304</v>
      </c>
      <c r="O41" s="76" t="s">
        <v>257</v>
      </c>
      <c r="P41" s="521">
        <f>INT(($R$4*S40)*(1+$B$34+$E$34+$B$52+$K$35))</f>
        <v>26236</v>
      </c>
      <c r="Q41" s="1447" t="s">
        <v>549</v>
      </c>
      <c r="R41" s="87" t="s">
        <v>257</v>
      </c>
      <c r="S41" s="519">
        <f>INT(P41*$E$41)</f>
        <v>35418</v>
      </c>
    </row>
    <row r="42" spans="2:19" ht="14.25" thickBot="1">
      <c r="B42" s="1216" t="s">
        <v>331</v>
      </c>
      <c r="C42" s="1199"/>
      <c r="D42" s="1200"/>
      <c r="E42" s="1253">
        <f>(($E$41+$F$41)/2-1)*$G$41+1</f>
        <v>1.3737500000000002</v>
      </c>
      <c r="F42" s="1254"/>
      <c r="G42" s="1255"/>
      <c r="I42" s="590" t="s">
        <v>1119</v>
      </c>
      <c r="J42" s="788"/>
      <c r="K42" s="789">
        <v>0</v>
      </c>
      <c r="N42" s="1228"/>
      <c r="O42" s="43" t="s">
        <v>258</v>
      </c>
      <c r="P42" s="522">
        <f>INT((P41+P43)/2)</f>
        <v>28551</v>
      </c>
      <c r="Q42" s="1448"/>
      <c r="R42" s="79" t="s">
        <v>258</v>
      </c>
      <c r="S42" s="156">
        <f>MIN(INT(P42*(($E$41+$F$41)/2)),ReadMe!$M$99)</f>
        <v>44967</v>
      </c>
    </row>
    <row r="43" spans="9:19" ht="14.25" thickBot="1">
      <c r="I43" s="1251" t="s">
        <v>854</v>
      </c>
      <c r="J43" s="1252"/>
      <c r="K43" s="790">
        <f>IF(M41="true",IF(K42&gt;0,10+ROUNDUP(K42/3,0),10)/100,0)</f>
        <v>0</v>
      </c>
      <c r="L43" s="323"/>
      <c r="M43" s="323"/>
      <c r="N43" s="1229"/>
      <c r="O43" s="15" t="s">
        <v>259</v>
      </c>
      <c r="P43" s="523">
        <f>INT(($T$4*S40)*(1+$B$34+$E$34+$B$52+$K$35))</f>
        <v>30866</v>
      </c>
      <c r="Q43" s="80" t="s">
        <v>309</v>
      </c>
      <c r="R43" s="86" t="s">
        <v>259</v>
      </c>
      <c r="S43" s="520">
        <f>INT(P43*$F$41)</f>
        <v>55558</v>
      </c>
    </row>
    <row r="44" spans="14:19" ht="14.25" thickBot="1">
      <c r="N44" s="1302" t="s">
        <v>323</v>
      </c>
      <c r="O44" s="1303"/>
      <c r="P44" s="1507"/>
      <c r="Q44" s="1534">
        <f>INT(P42*(1-$G$41)+S42*$G$41)</f>
        <v>39221</v>
      </c>
      <c r="R44" s="1534"/>
      <c r="S44" s="1535"/>
    </row>
    <row r="45" spans="2:11" ht="14.25" thickBot="1">
      <c r="B45" s="1282" t="s">
        <v>735</v>
      </c>
      <c r="C45" s="1283"/>
      <c r="D45" s="533">
        <v>125</v>
      </c>
      <c r="E45" s="1249" t="s">
        <v>736</v>
      </c>
      <c r="F45" s="1250"/>
      <c r="G45" s="25">
        <f>IF(D2&gt;D45,0,$D$45-$D$2)</f>
        <v>0</v>
      </c>
      <c r="I45" s="1137" t="s">
        <v>159</v>
      </c>
      <c r="J45" s="1138"/>
      <c r="K45" s="1139"/>
    </row>
    <row r="46" spans="2:19" ht="14.25" thickBot="1">
      <c r="B46" s="1242" t="s">
        <v>769</v>
      </c>
      <c r="C46" s="1243"/>
      <c r="D46" s="9">
        <v>12</v>
      </c>
      <c r="E46" s="1242" t="s">
        <v>771</v>
      </c>
      <c r="F46" s="1243"/>
      <c r="G46" s="615">
        <f>IF(G45&gt;0,"-",D46)</f>
        <v>12</v>
      </c>
      <c r="I46" s="416" t="s">
        <v>160</v>
      </c>
      <c r="J46" s="539"/>
      <c r="K46" s="204">
        <v>0</v>
      </c>
      <c r="L46" s="323"/>
      <c r="M46" s="323"/>
      <c r="N46" s="1158" t="s">
        <v>1102</v>
      </c>
      <c r="O46" s="1159"/>
      <c r="P46" s="1159"/>
      <c r="Q46" s="1159"/>
      <c r="R46" s="1159"/>
      <c r="S46" s="1160"/>
    </row>
    <row r="47" spans="2:19" ht="14.25" thickBot="1">
      <c r="B47" s="1293" t="s">
        <v>734</v>
      </c>
      <c r="C47" s="1294"/>
      <c r="D47" s="9">
        <v>0</v>
      </c>
      <c r="E47" s="1242" t="s">
        <v>770</v>
      </c>
      <c r="F47" s="1243"/>
      <c r="G47" s="511">
        <f>MAX((MIN(100+SQRT($K$29)-SQRT($D$46),100)-2*G45)/100,0)</f>
        <v>1</v>
      </c>
      <c r="I47" s="417" t="s">
        <v>161</v>
      </c>
      <c r="J47" s="540"/>
      <c r="K47" s="418">
        <f>IF(K46&gt;0,(K46+10)/100,0)</f>
        <v>0</v>
      </c>
      <c r="N47" s="291" t="s">
        <v>519</v>
      </c>
      <c r="O47" s="271">
        <f>D10</f>
        <v>1</v>
      </c>
      <c r="P47" s="240" t="s">
        <v>301</v>
      </c>
      <c r="Q47" s="408">
        <f>(180+5*D10)/100</f>
        <v>1.85</v>
      </c>
      <c r="R47" s="14" t="s">
        <v>872</v>
      </c>
      <c r="S47" s="16">
        <f>O47*3+110</f>
        <v>113</v>
      </c>
    </row>
    <row r="48" spans="2:19" ht="14.25" thickBot="1">
      <c r="B48" s="1278" t="s">
        <v>979</v>
      </c>
      <c r="C48" s="1279"/>
      <c r="D48" s="534">
        <v>0.25</v>
      </c>
      <c r="E48" s="1197" t="s">
        <v>980</v>
      </c>
      <c r="F48" s="1198"/>
      <c r="G48" s="28">
        <f>1-(D48-ROUNDUP(D48*(K47+B32+D22),2))</f>
        <v>0.75</v>
      </c>
      <c r="N48" s="1342" t="s">
        <v>1050</v>
      </c>
      <c r="O48" s="1471"/>
      <c r="P48" s="310">
        <f>60/S47</f>
        <v>0.5309734513274337</v>
      </c>
      <c r="Q48" s="1469" t="s">
        <v>1068</v>
      </c>
      <c r="R48" s="1470"/>
      <c r="S48" s="83">
        <v>20</v>
      </c>
    </row>
    <row r="49" spans="4:19" ht="14.25" thickBot="1">
      <c r="D49" s="402">
        <f>$D$47*(1-($K$47+$B$32+$D$22))</f>
        <v>0</v>
      </c>
      <c r="I49" s="1246" t="s">
        <v>79</v>
      </c>
      <c r="J49" s="1247"/>
      <c r="K49" s="1248"/>
      <c r="L49" s="323"/>
      <c r="M49" s="162"/>
      <c r="N49" s="292" t="s">
        <v>1046</v>
      </c>
      <c r="O49" s="4">
        <f>INT(Q49*0.5)</f>
        <v>8089</v>
      </c>
      <c r="P49" s="292" t="s">
        <v>1043</v>
      </c>
      <c r="Q49" s="4">
        <f>MIN(INT(($N$4*Q47)*(1+$B$34+$E$34+$B$52+$K$35)),ReadMe!$M$99)</f>
        <v>16179</v>
      </c>
      <c r="R49" s="292" t="s">
        <v>1016</v>
      </c>
      <c r="S49" s="4">
        <f>MIN(INT(Q49*1.5),ReadMe!$M$99)</f>
        <v>24268</v>
      </c>
    </row>
    <row r="50" spans="2:19" ht="13.5">
      <c r="B50" s="1153" t="s">
        <v>1084</v>
      </c>
      <c r="C50" s="1133"/>
      <c r="D50" s="1129"/>
      <c r="I50" s="1127" t="s">
        <v>988</v>
      </c>
      <c r="J50" s="1217"/>
      <c r="K50" s="468"/>
      <c r="L50" s="486" t="b">
        <v>0</v>
      </c>
      <c r="M50" s="486" t="str">
        <f>IF(L50=TRUE,"TRUE",IF(K50=1,"TRUE","FLASE"))</f>
        <v>FLASE</v>
      </c>
      <c r="N50" s="7" t="s">
        <v>1047</v>
      </c>
      <c r="O50" s="44">
        <f>INT(Q50*0.5)</f>
        <v>8803</v>
      </c>
      <c r="P50" s="7" t="s">
        <v>1044</v>
      </c>
      <c r="Q50" s="44">
        <f>INT((Q49+Q51)/2)</f>
        <v>17606</v>
      </c>
      <c r="R50" s="7" t="s">
        <v>1017</v>
      </c>
      <c r="S50" s="44">
        <f>MIN(INT(Q50*1.5),ReadMe!$M$99)</f>
        <v>26409</v>
      </c>
    </row>
    <row r="51" spans="2:19" ht="14.25" thickBot="1">
      <c r="B51" s="1187" t="s">
        <v>877</v>
      </c>
      <c r="C51" s="1188"/>
      <c r="D51" s="1189"/>
      <c r="I51" s="1244" t="s">
        <v>989</v>
      </c>
      <c r="J51" s="1245"/>
      <c r="K51" s="469"/>
      <c r="L51" s="486" t="b">
        <v>0</v>
      </c>
      <c r="M51" s="486" t="str">
        <f>IF(L51=TRUE,"TRUE",IF(K51=1,"TRUE","FLASE"))</f>
        <v>FLASE</v>
      </c>
      <c r="N51" s="14" t="s">
        <v>1049</v>
      </c>
      <c r="O51" s="143">
        <f>INT(Q51*0.5)</f>
        <v>9517</v>
      </c>
      <c r="P51" s="14" t="s">
        <v>1045</v>
      </c>
      <c r="Q51" s="143">
        <f>MIN(INT(($P$4*Q47)*(1+$B$34+$E$34+$B$52+$K$35)),ReadMe!$M$99)</f>
        <v>19034</v>
      </c>
      <c r="R51" s="14" t="s">
        <v>1018</v>
      </c>
      <c r="S51" s="143">
        <f>MIN(INT(Q51*1.5),ReadMe!$M$99)</f>
        <v>28551</v>
      </c>
    </row>
    <row r="52" spans="2:13" ht="14.25" thickBot="1">
      <c r="B52" s="1194">
        <v>0</v>
      </c>
      <c r="C52" s="1195"/>
      <c r="D52" s="1196"/>
      <c r="I52" s="1240" t="s">
        <v>854</v>
      </c>
      <c r="J52" s="1241"/>
      <c r="K52" s="206">
        <f>IF(M50="TRUE",1.04,IF(M51="TRUE",1.02,1))</f>
        <v>1</v>
      </c>
      <c r="L52" s="333"/>
      <c r="M52" s="333"/>
    </row>
    <row r="53" spans="14:19" ht="14.25" thickBot="1">
      <c r="N53" s="1467" t="s">
        <v>1405</v>
      </c>
      <c r="O53" s="1386"/>
      <c r="P53" s="1386"/>
      <c r="Q53" s="1386"/>
      <c r="R53" s="1386"/>
      <c r="S53" s="1468"/>
    </row>
    <row r="54" spans="2:19" ht="14.25" thickBot="1">
      <c r="B54" s="1201" t="s">
        <v>265</v>
      </c>
      <c r="C54" s="1202"/>
      <c r="D54" s="1202"/>
      <c r="E54" s="1202"/>
      <c r="F54" s="1202"/>
      <c r="G54" s="1202"/>
      <c r="H54" s="1202"/>
      <c r="I54" s="1202"/>
      <c r="J54" s="1202"/>
      <c r="K54" s="1202"/>
      <c r="L54" s="1203"/>
      <c r="N54" s="1201" t="s">
        <v>310</v>
      </c>
      <c r="O54" s="1180"/>
      <c r="P54" s="463">
        <v>0.65</v>
      </c>
      <c r="Q54" s="1305" t="s">
        <v>1293</v>
      </c>
      <c r="R54" s="1306"/>
      <c r="S54" s="313">
        <v>20</v>
      </c>
    </row>
    <row r="55" spans="2:19" ht="14.25" thickBot="1">
      <c r="B55" s="1268" t="s">
        <v>594</v>
      </c>
      <c r="C55" s="1269"/>
      <c r="D55" s="1270"/>
      <c r="E55" s="1270"/>
      <c r="F55" s="1270"/>
      <c r="G55" s="1270"/>
      <c r="H55" s="1270"/>
      <c r="I55" s="1270"/>
      <c r="J55" s="1270"/>
      <c r="K55" s="1270"/>
      <c r="L55" s="1272"/>
      <c r="N55" s="1342" t="s">
        <v>1406</v>
      </c>
      <c r="O55" s="1343"/>
      <c r="P55" s="463">
        <v>1</v>
      </c>
      <c r="Q55" s="1465" t="s">
        <v>1334</v>
      </c>
      <c r="R55" s="1466"/>
      <c r="S55" s="356">
        <v>1</v>
      </c>
    </row>
    <row r="56" spans="2:19" ht="13.5">
      <c r="B56" s="1273" t="s">
        <v>675</v>
      </c>
      <c r="C56" s="1274"/>
      <c r="D56" s="1275"/>
      <c r="E56" s="1275"/>
      <c r="F56" s="1275"/>
      <c r="G56" s="1275"/>
      <c r="H56" s="1275"/>
      <c r="I56" s="1275"/>
      <c r="J56" s="1275"/>
      <c r="K56" s="1275"/>
      <c r="L56" s="1277"/>
      <c r="N56" s="1227" t="s">
        <v>304</v>
      </c>
      <c r="O56" s="76" t="s">
        <v>257</v>
      </c>
      <c r="P56" s="521">
        <f>INT(($R$4*P55)*(1+$B$34+$E$34+$B$52+$K$35))</f>
        <v>6559</v>
      </c>
      <c r="Q56" s="1447" t="s">
        <v>549</v>
      </c>
      <c r="R56" s="87" t="s">
        <v>257</v>
      </c>
      <c r="S56" s="519">
        <f>INT(P56*$E$41)</f>
        <v>8854</v>
      </c>
    </row>
    <row r="57" spans="2:19" ht="13.5">
      <c r="B57" s="1273" t="s">
        <v>586</v>
      </c>
      <c r="C57" s="1274"/>
      <c r="D57" s="1275"/>
      <c r="E57" s="1275"/>
      <c r="F57" s="1275"/>
      <c r="G57" s="1275"/>
      <c r="H57" s="1275"/>
      <c r="I57" s="1275"/>
      <c r="J57" s="1275"/>
      <c r="K57" s="1275"/>
      <c r="L57" s="1277"/>
      <c r="N57" s="1228"/>
      <c r="O57" s="43" t="s">
        <v>258</v>
      </c>
      <c r="P57" s="522">
        <f>INT((P56+P58)/2)</f>
        <v>7137</v>
      </c>
      <c r="Q57" s="1448"/>
      <c r="R57" s="79" t="s">
        <v>258</v>
      </c>
      <c r="S57" s="156">
        <f>MIN(INT(P57*(($E$41+$F$41)/2)),ReadMe!$M$99)</f>
        <v>11240</v>
      </c>
    </row>
    <row r="58" spans="2:19" ht="14.25" thickBot="1">
      <c r="B58" s="1273" t="s">
        <v>1142</v>
      </c>
      <c r="C58" s="1274"/>
      <c r="D58" s="1275"/>
      <c r="E58" s="1275"/>
      <c r="F58" s="1275"/>
      <c r="G58" s="1275"/>
      <c r="H58" s="1275"/>
      <c r="I58" s="1275"/>
      <c r="J58" s="1275"/>
      <c r="K58" s="1275"/>
      <c r="L58" s="1277"/>
      <c r="N58" s="1229"/>
      <c r="O58" s="15" t="s">
        <v>259</v>
      </c>
      <c r="P58" s="523">
        <f>INT(($T$4*P55)*(1+$B$34+$E$34+$B$52+$K$35))</f>
        <v>7716</v>
      </c>
      <c r="Q58" s="80" t="s">
        <v>309</v>
      </c>
      <c r="R58" s="86" t="s">
        <v>259</v>
      </c>
      <c r="S58" s="520">
        <f>INT(P58*$F$41)</f>
        <v>13888</v>
      </c>
    </row>
    <row r="59" spans="2:19" ht="14.25" thickBot="1">
      <c r="B59" s="1387" t="s">
        <v>801</v>
      </c>
      <c r="C59" s="1533"/>
      <c r="D59" s="1388"/>
      <c r="E59" s="1388"/>
      <c r="F59" s="1388"/>
      <c r="G59" s="1388"/>
      <c r="H59" s="1388"/>
      <c r="I59" s="1388"/>
      <c r="J59" s="1388"/>
      <c r="K59" s="1388"/>
      <c r="L59" s="1389"/>
      <c r="N59" s="1302" t="s">
        <v>323</v>
      </c>
      <c r="O59" s="1303"/>
      <c r="P59" s="1304"/>
      <c r="Q59" s="1449">
        <f>INT(P57*(1-$G$41)+S57*$G$41)</f>
        <v>9803</v>
      </c>
      <c r="R59" s="1449"/>
      <c r="S59" s="1450"/>
    </row>
    <row r="60" spans="2:19" ht="14.25" thickBot="1">
      <c r="B60" s="1387" t="s">
        <v>808</v>
      </c>
      <c r="C60" s="1533"/>
      <c r="D60" s="1388"/>
      <c r="E60" s="1388"/>
      <c r="F60" s="1388"/>
      <c r="G60" s="1388"/>
      <c r="H60" s="1388"/>
      <c r="I60" s="1388"/>
      <c r="J60" s="1388"/>
      <c r="K60" s="1388"/>
      <c r="L60" s="1389"/>
      <c r="N60" s="1302" t="s">
        <v>726</v>
      </c>
      <c r="O60" s="1303"/>
      <c r="P60" s="1304"/>
      <c r="Q60" s="1489">
        <f>Q59*S55</f>
        <v>9803</v>
      </c>
      <c r="R60" s="1463"/>
      <c r="S60" s="1464"/>
    </row>
    <row r="61" spans="2:12" ht="13.5">
      <c r="B61" s="1387" t="s">
        <v>867</v>
      </c>
      <c r="C61" s="1533"/>
      <c r="D61" s="1388"/>
      <c r="E61" s="1388"/>
      <c r="F61" s="1388"/>
      <c r="G61" s="1388"/>
      <c r="H61" s="1388"/>
      <c r="I61" s="1388"/>
      <c r="J61" s="1388"/>
      <c r="K61" s="1388"/>
      <c r="L61" s="1389"/>
    </row>
    <row r="62" spans="2:12" ht="13.5">
      <c r="B62" s="1387" t="s">
        <v>193</v>
      </c>
      <c r="C62" s="1533"/>
      <c r="D62" s="1388"/>
      <c r="E62" s="1388"/>
      <c r="F62" s="1388"/>
      <c r="G62" s="1388"/>
      <c r="H62" s="1388"/>
      <c r="I62" s="1388"/>
      <c r="J62" s="1388"/>
      <c r="K62" s="1388"/>
      <c r="L62" s="1389"/>
    </row>
    <row r="63" spans="2:12" ht="14.25" thickBot="1">
      <c r="B63" s="1529" t="s">
        <v>196</v>
      </c>
      <c r="C63" s="1530"/>
      <c r="D63" s="1531"/>
      <c r="E63" s="1531"/>
      <c r="F63" s="1531"/>
      <c r="G63" s="1531"/>
      <c r="H63" s="1531"/>
      <c r="I63" s="1531"/>
      <c r="J63" s="1531"/>
      <c r="K63" s="1531"/>
      <c r="L63" s="1532"/>
    </row>
  </sheetData>
  <sheetProtection/>
  <protectedRanges>
    <protectedRange sqref="D45:D46 D48" name="範囲1_1"/>
  </protectedRanges>
  <mergeCells count="120">
    <mergeCell ref="V2:Y2"/>
    <mergeCell ref="V7:W7"/>
    <mergeCell ref="X7:Y7"/>
    <mergeCell ref="D6:D7"/>
    <mergeCell ref="N6:Q6"/>
    <mergeCell ref="Q7:Q8"/>
    <mergeCell ref="B2:C2"/>
    <mergeCell ref="B23:C23"/>
    <mergeCell ref="B25:C25"/>
    <mergeCell ref="B4:D4"/>
    <mergeCell ref="B20:C20"/>
    <mergeCell ref="D20:D21"/>
    <mergeCell ref="B21:C21"/>
    <mergeCell ref="B22:C22"/>
    <mergeCell ref="B6:C6"/>
    <mergeCell ref="B7:C7"/>
    <mergeCell ref="B33:D33"/>
    <mergeCell ref="B34:D34"/>
    <mergeCell ref="E34:F34"/>
    <mergeCell ref="Y23:Z23"/>
    <mergeCell ref="U23:V23"/>
    <mergeCell ref="W23:X23"/>
    <mergeCell ref="Q23:S23"/>
    <mergeCell ref="N23:P23"/>
    <mergeCell ref="E33:F33"/>
    <mergeCell ref="B32:D32"/>
    <mergeCell ref="N53:S53"/>
    <mergeCell ref="Q48:R48"/>
    <mergeCell ref="I38:K38"/>
    <mergeCell ref="I45:K45"/>
    <mergeCell ref="I41:J41"/>
    <mergeCell ref="I43:J43"/>
    <mergeCell ref="N46:S46"/>
    <mergeCell ref="Q44:S44"/>
    <mergeCell ref="B51:D51"/>
    <mergeCell ref="B52:D52"/>
    <mergeCell ref="B62:L62"/>
    <mergeCell ref="B60:L60"/>
    <mergeCell ref="I52:J52"/>
    <mergeCell ref="B55:L55"/>
    <mergeCell ref="B54:L54"/>
    <mergeCell ref="N56:N58"/>
    <mergeCell ref="B63:L63"/>
    <mergeCell ref="B57:L57"/>
    <mergeCell ref="B56:L56"/>
    <mergeCell ref="N60:P60"/>
    <mergeCell ref="B61:L61"/>
    <mergeCell ref="B59:L59"/>
    <mergeCell ref="B58:L58"/>
    <mergeCell ref="B36:D36"/>
    <mergeCell ref="B38:C38"/>
    <mergeCell ref="I51:J51"/>
    <mergeCell ref="B40:D40"/>
    <mergeCell ref="B48:C48"/>
    <mergeCell ref="E48:F48"/>
    <mergeCell ref="B37:D37"/>
    <mergeCell ref="I49:K49"/>
    <mergeCell ref="I50:J50"/>
    <mergeCell ref="B45:C45"/>
    <mergeCell ref="U13:Z13"/>
    <mergeCell ref="U14:V14"/>
    <mergeCell ref="W14:X14"/>
    <mergeCell ref="Y14:Z14"/>
    <mergeCell ref="U21:Z21"/>
    <mergeCell ref="U22:V22"/>
    <mergeCell ref="W22:X22"/>
    <mergeCell ref="Y22:Z22"/>
    <mergeCell ref="Y15:Z15"/>
    <mergeCell ref="U15:V15"/>
    <mergeCell ref="N16:S16"/>
    <mergeCell ref="W15:X15"/>
    <mergeCell ref="Q15:S15"/>
    <mergeCell ref="N15:P15"/>
    <mergeCell ref="B31:D31"/>
    <mergeCell ref="E31:F31"/>
    <mergeCell ref="B30:K30"/>
    <mergeCell ref="B26:C26"/>
    <mergeCell ref="B27:C27"/>
    <mergeCell ref="Q12:S12"/>
    <mergeCell ref="Q13:S13"/>
    <mergeCell ref="Q14:R14"/>
    <mergeCell ref="E32:F32"/>
    <mergeCell ref="N22:P22"/>
    <mergeCell ref="N11:O13"/>
    <mergeCell ref="Q18:Q20"/>
    <mergeCell ref="F1:P1"/>
    <mergeCell ref="N2:P2"/>
    <mergeCell ref="N25:S25"/>
    <mergeCell ref="R2:T2"/>
    <mergeCell ref="N10:P10"/>
    <mergeCell ref="N14:O14"/>
    <mergeCell ref="N7:N9"/>
    <mergeCell ref="Q10:S10"/>
    <mergeCell ref="Q11:S11"/>
    <mergeCell ref="N18:N20"/>
    <mergeCell ref="Q60:S60"/>
    <mergeCell ref="N44:P44"/>
    <mergeCell ref="N54:O54"/>
    <mergeCell ref="Q54:R54"/>
    <mergeCell ref="N59:P59"/>
    <mergeCell ref="Q59:S59"/>
    <mergeCell ref="N55:O55"/>
    <mergeCell ref="Q55:R55"/>
    <mergeCell ref="N48:O48"/>
    <mergeCell ref="Q56:Q57"/>
    <mergeCell ref="E45:F45"/>
    <mergeCell ref="I37:K37"/>
    <mergeCell ref="N40:Q40"/>
    <mergeCell ref="N41:N43"/>
    <mergeCell ref="Q41:Q42"/>
    <mergeCell ref="I34:K34"/>
    <mergeCell ref="B46:C46"/>
    <mergeCell ref="B50:D50"/>
    <mergeCell ref="B47:C47"/>
    <mergeCell ref="E47:F47"/>
    <mergeCell ref="B39:C39"/>
    <mergeCell ref="B41:D41"/>
    <mergeCell ref="E46:F46"/>
    <mergeCell ref="B42:D42"/>
    <mergeCell ref="E42:G42"/>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6.xml><?xml version="1.0" encoding="utf-8"?>
<worksheet xmlns="http://schemas.openxmlformats.org/spreadsheetml/2006/main" xmlns:r="http://schemas.openxmlformats.org/officeDocument/2006/relationships">
  <dimension ref="A1:AB70"/>
  <sheetViews>
    <sheetView workbookViewId="0" topLeftCell="P1">
      <selection activeCell="D11" sqref="D11"/>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 min="21" max="21" width="10.50390625" style="0" bestFit="1" customWidth="1"/>
    <col min="22" max="22" width="4.625" style="0" customWidth="1"/>
    <col min="25" max="28" width="12.125" style="0" customWidth="1"/>
  </cols>
  <sheetData>
    <row r="1" spans="6:23" ht="24.75" thickBot="1">
      <c r="F1" s="1223" t="s">
        <v>457</v>
      </c>
      <c r="G1" s="1223"/>
      <c r="H1" s="1223"/>
      <c r="I1" s="1223"/>
      <c r="J1" s="1223"/>
      <c r="K1" s="1223"/>
      <c r="L1" s="1223"/>
      <c r="M1" s="1223"/>
      <c r="N1" s="1223"/>
      <c r="O1" s="1223"/>
      <c r="P1" s="1223"/>
      <c r="W1" s="323"/>
    </row>
    <row r="2" spans="2:23" ht="14.25" thickBot="1">
      <c r="B2" s="1153" t="s">
        <v>443</v>
      </c>
      <c r="C2" s="1154"/>
      <c r="D2" s="2">
        <v>150</v>
      </c>
      <c r="E2" s="1"/>
      <c r="F2" s="3" t="s">
        <v>325</v>
      </c>
      <c r="G2" s="3" t="s">
        <v>458</v>
      </c>
      <c r="H2" s="3" t="s">
        <v>459</v>
      </c>
      <c r="I2" s="3" t="s">
        <v>84</v>
      </c>
      <c r="J2" s="3" t="s">
        <v>85</v>
      </c>
      <c r="K2" s="25" t="s">
        <v>749</v>
      </c>
      <c r="N2" s="1224" t="s">
        <v>301</v>
      </c>
      <c r="O2" s="1225"/>
      <c r="P2" s="1226"/>
      <c r="R2" s="1224" t="s">
        <v>737</v>
      </c>
      <c r="S2" s="1225"/>
      <c r="T2" s="1226"/>
      <c r="V2" s="1542" t="s">
        <v>1039</v>
      </c>
      <c r="W2" s="1543"/>
    </row>
    <row r="3" spans="2:23" ht="14.25" thickBot="1">
      <c r="B3" s="5" t="s">
        <v>241</v>
      </c>
      <c r="C3" s="536"/>
      <c r="D3" s="6">
        <f>((D2-1)*5+IF(D2&gt;=120,35,IF(D2&gt;=70,30,25)))-(G3+H3+I3+J3)</f>
        <v>0</v>
      </c>
      <c r="E3" s="7" t="s">
        <v>242</v>
      </c>
      <c r="F3" s="8"/>
      <c r="G3" s="8">
        <v>20</v>
      </c>
      <c r="H3" s="8">
        <v>71</v>
      </c>
      <c r="I3" s="8">
        <v>4</v>
      </c>
      <c r="J3" s="8">
        <v>685</v>
      </c>
      <c r="K3" s="9"/>
      <c r="N3" s="10" t="s">
        <v>270</v>
      </c>
      <c r="O3" s="11" t="s">
        <v>271</v>
      </c>
      <c r="P3" s="12" t="s">
        <v>272</v>
      </c>
      <c r="R3" s="70" t="s">
        <v>270</v>
      </c>
      <c r="S3" s="71" t="s">
        <v>271</v>
      </c>
      <c r="T3" s="72" t="s">
        <v>272</v>
      </c>
      <c r="V3" s="226"/>
      <c r="W3" s="1052">
        <f>0.5*(1+K35)*(1+B34)*(1+E34)*(1+B52)</f>
        <v>0.5</v>
      </c>
    </row>
    <row r="4" spans="2:23" ht="14.25" thickBot="1">
      <c r="B4" s="1342" t="s">
        <v>336</v>
      </c>
      <c r="C4" s="1420"/>
      <c r="D4" s="1420"/>
      <c r="E4" s="7" t="s">
        <v>243</v>
      </c>
      <c r="F4" s="8">
        <v>123</v>
      </c>
      <c r="G4" s="8"/>
      <c r="H4" s="8"/>
      <c r="I4" s="8"/>
      <c r="J4" s="8">
        <v>14</v>
      </c>
      <c r="K4" s="9"/>
      <c r="N4" s="14">
        <f>P4*S64</f>
        <v>6517.42</v>
      </c>
      <c r="O4" s="15">
        <f>(P4+N4)/2</f>
        <v>7914.01</v>
      </c>
      <c r="P4" s="16">
        <f>$Q$4*($F$29+INT(($F$29*($E$32+$K$52+$K$43-1))))/100</f>
        <v>9310.6</v>
      </c>
      <c r="Q4" s="402">
        <f>1.3*(4*$J$29+$H$29+$G$29)</f>
        <v>4655.3</v>
      </c>
      <c r="R4" s="14">
        <f>N4*$G$48*(1-$G$45/100)</f>
        <v>4888.0650000000005</v>
      </c>
      <c r="S4" s="15">
        <f>O4*$G$48*(1-$G$45/100)</f>
        <v>5935.5075</v>
      </c>
      <c r="T4" s="16">
        <f>P4*$G$48*(1-$G$45/100)</f>
        <v>6982.950000000001</v>
      </c>
      <c r="W4" s="323"/>
    </row>
    <row r="5" spans="2:11" ht="14.25" thickBot="1">
      <c r="B5" s="22"/>
      <c r="C5" s="21"/>
      <c r="D5" s="21"/>
      <c r="E5" s="7" t="s">
        <v>245</v>
      </c>
      <c r="F5" s="8">
        <v>29</v>
      </c>
      <c r="G5" s="8">
        <v>7</v>
      </c>
      <c r="H5" s="8"/>
      <c r="I5" s="8"/>
      <c r="J5" s="8">
        <v>2</v>
      </c>
      <c r="K5" s="9"/>
    </row>
    <row r="6" spans="2:28" ht="14.25" thickBot="1">
      <c r="B6" s="1602" t="s">
        <v>407</v>
      </c>
      <c r="C6" s="1603"/>
      <c r="D6" s="231">
        <v>30</v>
      </c>
      <c r="E6" s="42" t="s">
        <v>246</v>
      </c>
      <c r="F6" s="8"/>
      <c r="G6" s="8">
        <v>10</v>
      </c>
      <c r="H6" s="8">
        <v>10</v>
      </c>
      <c r="I6" s="8">
        <v>10</v>
      </c>
      <c r="J6" s="8">
        <v>10</v>
      </c>
      <c r="K6" s="9">
        <v>10</v>
      </c>
      <c r="N6" s="1158" t="s">
        <v>1106</v>
      </c>
      <c r="O6" s="1159"/>
      <c r="P6" s="1159"/>
      <c r="Q6" s="1159"/>
      <c r="R6" s="1159"/>
      <c r="S6" s="1159"/>
      <c r="T6" s="1159"/>
      <c r="U6" s="1160"/>
      <c r="W6" s="1608" t="s">
        <v>337</v>
      </c>
      <c r="X6" s="1609"/>
      <c r="Y6" s="1609"/>
      <c r="Z6" s="1609"/>
      <c r="AA6" s="1609"/>
      <c r="AB6" s="1610"/>
    </row>
    <row r="7" spans="2:28" ht="14.25" thickBot="1">
      <c r="B7" s="563" t="s">
        <v>990</v>
      </c>
      <c r="C7" s="964"/>
      <c r="D7" s="232">
        <v>30</v>
      </c>
      <c r="E7" s="42" t="s">
        <v>247</v>
      </c>
      <c r="F7" s="8">
        <v>5</v>
      </c>
      <c r="G7" s="8"/>
      <c r="H7" s="8"/>
      <c r="I7" s="8"/>
      <c r="J7" s="8"/>
      <c r="K7" s="9"/>
      <c r="N7" s="23" t="s">
        <v>727</v>
      </c>
      <c r="O7" s="83">
        <f>D7</f>
        <v>30</v>
      </c>
      <c r="P7" s="188" t="s">
        <v>252</v>
      </c>
      <c r="Q7" s="75">
        <f>(550+4*D7)/100</f>
        <v>6.7</v>
      </c>
      <c r="R7" s="179" t="s">
        <v>334</v>
      </c>
      <c r="S7" s="82">
        <f>IF(O7&gt;=21,4,IF(O7&gt;=11,3,2))</f>
        <v>4</v>
      </c>
      <c r="T7" s="187" t="s">
        <v>267</v>
      </c>
      <c r="U7" s="83">
        <v>48</v>
      </c>
      <c r="V7" s="744">
        <f>IF(D7&gt;0,(5+2*INT(D7/3))/100+1,1)</f>
        <v>1.25</v>
      </c>
      <c r="W7" s="1158" t="s">
        <v>339</v>
      </c>
      <c r="X7" s="1615"/>
      <c r="Y7" s="97" t="s">
        <v>909</v>
      </c>
      <c r="Z7" s="98" t="s">
        <v>910</v>
      </c>
      <c r="AA7" s="98" t="s">
        <v>911</v>
      </c>
      <c r="AB7" s="99" t="s">
        <v>912</v>
      </c>
    </row>
    <row r="8" spans="2:28" ht="13.5">
      <c r="B8" s="7" t="s">
        <v>1125</v>
      </c>
      <c r="C8" s="43"/>
      <c r="D8" s="9">
        <v>10</v>
      </c>
      <c r="E8" s="42" t="s">
        <v>248</v>
      </c>
      <c r="F8" s="8">
        <v>2</v>
      </c>
      <c r="G8" s="8"/>
      <c r="H8" s="8">
        <v>2</v>
      </c>
      <c r="I8" s="8"/>
      <c r="J8" s="8"/>
      <c r="K8" s="9">
        <v>7</v>
      </c>
      <c r="N8" s="1227" t="s">
        <v>304</v>
      </c>
      <c r="O8" s="76" t="s">
        <v>257</v>
      </c>
      <c r="P8" s="521">
        <f>MIN(INT(($R$4*Q7)*(1+$B$34+$E$34+$B$52+$K$35)),ReadMe!$M$99)</f>
        <v>32750</v>
      </c>
      <c r="Q8" s="1234" t="s">
        <v>725</v>
      </c>
      <c r="R8" s="186" t="s">
        <v>257</v>
      </c>
      <c r="S8" s="155">
        <f>MIN(INT(P8*$E$41),ReadMe!$M$99)</f>
        <v>39300</v>
      </c>
      <c r="T8" s="1564" t="s">
        <v>323</v>
      </c>
      <c r="U8" s="1556">
        <f>INT(P9*(1-$G$41)+S9*$G$41)</f>
        <v>40462</v>
      </c>
      <c r="W8" s="1611" t="s">
        <v>460</v>
      </c>
      <c r="X8" s="1612"/>
      <c r="Y8" s="100">
        <f>U41*Y24*G47+IF(A11="true",R62,0)</f>
        <v>6279213</v>
      </c>
      <c r="Z8" s="101"/>
      <c r="AA8" s="101"/>
      <c r="AB8" s="102"/>
    </row>
    <row r="9" spans="2:28" ht="14.25" thickBot="1">
      <c r="B9" s="14" t="s">
        <v>1312</v>
      </c>
      <c r="C9" s="15"/>
      <c r="D9" s="228">
        <v>1</v>
      </c>
      <c r="E9" s="42" t="s">
        <v>249</v>
      </c>
      <c r="F9" s="8"/>
      <c r="G9" s="8">
        <v>7</v>
      </c>
      <c r="H9" s="8">
        <v>7</v>
      </c>
      <c r="I9" s="8">
        <v>7</v>
      </c>
      <c r="J9" s="8">
        <v>7</v>
      </c>
      <c r="K9" s="9"/>
      <c r="N9" s="1228"/>
      <c r="O9" s="43" t="s">
        <v>258</v>
      </c>
      <c r="P9" s="522">
        <f>INT((P8+P10)/2)</f>
        <v>39767</v>
      </c>
      <c r="Q9" s="1235"/>
      <c r="R9" s="79" t="s">
        <v>258</v>
      </c>
      <c r="S9" s="156">
        <f>MIN(INT(P9*(($E$41+$F$41)/2)),ReadMe!$M$99)</f>
        <v>53685</v>
      </c>
      <c r="T9" s="1565"/>
      <c r="U9" s="1557"/>
      <c r="W9" s="1613" t="s">
        <v>408</v>
      </c>
      <c r="X9" s="1614"/>
      <c r="Y9" s="103">
        <f>U32*Y25*G47+IF(A11="true",R62,0)</f>
        <v>8466024</v>
      </c>
      <c r="Z9" s="104"/>
      <c r="AA9" s="104"/>
      <c r="AB9" s="105"/>
    </row>
    <row r="10" spans="1:28" ht="14.25" thickBot="1">
      <c r="A10" s="402" t="b">
        <v>1</v>
      </c>
      <c r="B10" s="1432" t="s">
        <v>1255</v>
      </c>
      <c r="C10" s="1433"/>
      <c r="D10" s="204">
        <v>30</v>
      </c>
      <c r="E10" s="7" t="s">
        <v>250</v>
      </c>
      <c r="F10" s="8"/>
      <c r="G10" s="8"/>
      <c r="H10" s="8">
        <v>10</v>
      </c>
      <c r="I10" s="8"/>
      <c r="J10" s="8"/>
      <c r="K10" s="9"/>
      <c r="N10" s="1229"/>
      <c r="O10" s="15" t="s">
        <v>259</v>
      </c>
      <c r="P10" s="523">
        <f>MIN(INT(($T$4*Q7)*(1+$B$34+$E$34+$B$52+$K$35)),ReadMe!$M$99)</f>
        <v>46785</v>
      </c>
      <c r="Q10" s="1236"/>
      <c r="R10" s="86" t="s">
        <v>259</v>
      </c>
      <c r="S10" s="157">
        <f>MIN(INT(P10*$F$41),ReadMe!$M$99)</f>
        <v>70177</v>
      </c>
      <c r="T10" s="1565"/>
      <c r="U10" s="1557"/>
      <c r="W10" s="1606" t="s">
        <v>409</v>
      </c>
      <c r="X10" s="1607"/>
      <c r="Y10" s="106">
        <f>U19*Z26*G47+IF(A11="true",R62,0)</f>
        <v>12406813.056994818</v>
      </c>
      <c r="Z10" s="107"/>
      <c r="AA10" s="107"/>
      <c r="AB10" s="108"/>
    </row>
    <row r="11" spans="1:28" ht="14.25" thickBot="1">
      <c r="A11" s="402" t="str">
        <f>IF(A10=TRUE,"TRUE",IF(D11=1,"TRUE","FLASE"))</f>
        <v>TRUE</v>
      </c>
      <c r="B11" s="5" t="s">
        <v>1256</v>
      </c>
      <c r="C11" s="68"/>
      <c r="D11" s="592"/>
      <c r="E11" s="42" t="s">
        <v>698</v>
      </c>
      <c r="F11" s="8"/>
      <c r="G11" s="8"/>
      <c r="H11" s="8"/>
      <c r="I11" s="8"/>
      <c r="J11" s="8"/>
      <c r="K11" s="9"/>
      <c r="N11" s="1227" t="s">
        <v>1249</v>
      </c>
      <c r="O11" s="84" t="s">
        <v>257</v>
      </c>
      <c r="P11" s="180">
        <f>P8*2</f>
        <v>65500</v>
      </c>
      <c r="Q11" s="1544" t="s">
        <v>1250</v>
      </c>
      <c r="R11" s="1545"/>
      <c r="S11" s="1546"/>
      <c r="T11" s="517" t="s">
        <v>257</v>
      </c>
      <c r="U11" s="527">
        <f>INT(P11+P11*$W$3)</f>
        <v>98250</v>
      </c>
      <c r="W11" s="1606" t="s">
        <v>410</v>
      </c>
      <c r="X11" s="1607"/>
      <c r="Y11" s="106">
        <f>U22*Z27*G47+IF(A11="true",R62,0)</f>
        <v>17212397.575757578</v>
      </c>
      <c r="Z11" s="107"/>
      <c r="AA11" s="107"/>
      <c r="AB11" s="108"/>
    </row>
    <row r="12" spans="2:28" ht="14.25" thickBot="1">
      <c r="B12" s="1" t="s">
        <v>1121</v>
      </c>
      <c r="C12" s="3"/>
      <c r="D12" s="137">
        <v>20</v>
      </c>
      <c r="E12" s="42" t="s">
        <v>587</v>
      </c>
      <c r="F12" s="8"/>
      <c r="G12" s="8">
        <v>20</v>
      </c>
      <c r="H12" s="8">
        <v>1</v>
      </c>
      <c r="I12" s="8"/>
      <c r="J12" s="8"/>
      <c r="K12" s="9"/>
      <c r="N12" s="1228"/>
      <c r="O12" s="173" t="s">
        <v>335</v>
      </c>
      <c r="P12" s="645">
        <f>U8*2</f>
        <v>80924</v>
      </c>
      <c r="Q12" s="1547"/>
      <c r="R12" s="1548"/>
      <c r="S12" s="1549"/>
      <c r="T12" s="646" t="s">
        <v>335</v>
      </c>
      <c r="U12" s="671">
        <f>INT(P12+P12*$W$3)</f>
        <v>121386</v>
      </c>
      <c r="W12" s="1588" t="s">
        <v>411</v>
      </c>
      <c r="X12" s="1589"/>
      <c r="Y12" s="109">
        <f>U12*Y28*G47+IF(A11="true",R62,0)</f>
        <v>6608568</v>
      </c>
      <c r="Z12" s="109">
        <f>Y12*2</f>
        <v>13217136</v>
      </c>
      <c r="AA12" s="109">
        <f>Y12*3</f>
        <v>19825704</v>
      </c>
      <c r="AB12" s="110">
        <f>Y12*4</f>
        <v>26434272</v>
      </c>
    </row>
    <row r="13" spans="2:28" ht="14.25" customHeight="1" thickBot="1">
      <c r="B13" s="7" t="s">
        <v>1122</v>
      </c>
      <c r="C13" s="43"/>
      <c r="D13" s="9">
        <v>20</v>
      </c>
      <c r="E13" s="42" t="s">
        <v>697</v>
      </c>
      <c r="F13" s="8"/>
      <c r="G13" s="8"/>
      <c r="H13" s="8">
        <v>13</v>
      </c>
      <c r="I13" s="8"/>
      <c r="J13" s="8">
        <v>5</v>
      </c>
      <c r="K13" s="9"/>
      <c r="N13" s="1229"/>
      <c r="O13" s="92" t="s">
        <v>259</v>
      </c>
      <c r="P13" s="182">
        <f>S10*2</f>
        <v>140354</v>
      </c>
      <c r="Q13" s="1550"/>
      <c r="R13" s="1551"/>
      <c r="S13" s="1552"/>
      <c r="T13" s="274" t="s">
        <v>259</v>
      </c>
      <c r="U13" s="529">
        <f>INT(P13+P13*$W$3)</f>
        <v>210531</v>
      </c>
      <c r="W13" s="1594" t="s">
        <v>463</v>
      </c>
      <c r="X13" s="953" t="s">
        <v>412</v>
      </c>
      <c r="Y13" s="958">
        <f>(U12*Y29+U41*Y29)*G47+IF(A11="true",R62,0)</f>
        <v>8661954</v>
      </c>
      <c r="Z13" s="112">
        <f>(U12*Y29*2+U41*Y29)*G47+IF(A11="true",R62*2,0)</f>
        <v>14542206</v>
      </c>
      <c r="AA13" s="112">
        <f>(U12*Y29*3+U41*Y29)*G47+IF(A11="true",R62*3,0)</f>
        <v>20422458</v>
      </c>
      <c r="AB13" s="113">
        <f>(U12*Y29*4+U41*Y29)*G47+IF(A11="true",R62*4,0)</f>
        <v>26302710</v>
      </c>
    </row>
    <row r="14" spans="2:28" ht="14.25" thickBot="1">
      <c r="B14" s="216" t="s">
        <v>1123</v>
      </c>
      <c r="C14" s="43"/>
      <c r="D14" s="9">
        <v>30</v>
      </c>
      <c r="E14" s="42" t="s">
        <v>260</v>
      </c>
      <c r="F14" s="8"/>
      <c r="G14" s="8"/>
      <c r="H14" s="8">
        <v>15</v>
      </c>
      <c r="I14" s="8"/>
      <c r="J14" s="8">
        <v>3</v>
      </c>
      <c r="K14" s="9">
        <v>1</v>
      </c>
      <c r="V14" s="402"/>
      <c r="W14" s="1595"/>
      <c r="X14" s="954" t="s">
        <v>464</v>
      </c>
      <c r="Y14" s="959">
        <f>(U12*Y30+U32*Y30)*G47+IF(A11="true",R62,0)</f>
        <v>10538274</v>
      </c>
      <c r="Z14" s="103">
        <f>(U12*Y30*2+U32*Y30)*G47+IF(A11="true",R62*2,0)</f>
        <v>15811596</v>
      </c>
      <c r="AA14" s="103">
        <f>(U12*Y30*3+U32*Y30)*G47+IF(A11="true",R62*3,0)</f>
        <v>21084918</v>
      </c>
      <c r="AB14" s="960">
        <f>(U12*Y30*4+U32*Y30)*G47+IF(A11="true",R62*4,0)</f>
        <v>26358240</v>
      </c>
    </row>
    <row r="15" spans="2:28" ht="14.25" thickBot="1">
      <c r="B15" s="5" t="s">
        <v>1126</v>
      </c>
      <c r="C15" s="68"/>
      <c r="D15" s="279">
        <v>20</v>
      </c>
      <c r="E15" s="42" t="s">
        <v>261</v>
      </c>
      <c r="F15" s="8">
        <v>15</v>
      </c>
      <c r="G15" s="8"/>
      <c r="H15" s="8"/>
      <c r="I15" s="8"/>
      <c r="J15" s="8"/>
      <c r="K15" s="9"/>
      <c r="N15" s="1158" t="s">
        <v>407</v>
      </c>
      <c r="O15" s="1159"/>
      <c r="P15" s="1159"/>
      <c r="Q15" s="1159"/>
      <c r="R15" s="1159"/>
      <c r="S15" s="1159"/>
      <c r="T15" s="1159"/>
      <c r="U15" s="1160"/>
      <c r="V15" s="402"/>
      <c r="W15" s="1595"/>
      <c r="X15" s="956" t="s">
        <v>1122</v>
      </c>
      <c r="Y15" s="961">
        <f>(U12*Y31+U48*Y31)*G47+IF(A11="true",R62,0)</f>
        <v>8934360</v>
      </c>
      <c r="Z15" s="950">
        <f>(U12*Y31+U48*Y31)*2*G47+IF(A11="true",R62*2,0)</f>
        <v>17868720</v>
      </c>
      <c r="AA15" s="950">
        <f>(U12*Y31+U48*Y31)*3*G47+IF(A11="true",R62*2,0)</f>
        <v>26021040</v>
      </c>
      <c r="AB15" s="962">
        <f>(U12*Y31+U48*Y31)*4*G47+IF(A11="true",R62*2,0)</f>
        <v>34173360</v>
      </c>
    </row>
    <row r="16" spans="2:28" ht="14.25" thickBot="1">
      <c r="B16" s="218"/>
      <c r="C16" s="965" t="s">
        <v>1219</v>
      </c>
      <c r="D16" s="966">
        <f>(6*D8)/100</f>
        <v>0.6</v>
      </c>
      <c r="E16" s="42" t="s">
        <v>262</v>
      </c>
      <c r="F16" s="8">
        <v>4</v>
      </c>
      <c r="G16" s="8"/>
      <c r="H16" s="8">
        <v>8</v>
      </c>
      <c r="I16" s="8"/>
      <c r="J16" s="8"/>
      <c r="K16" s="9"/>
      <c r="N16" s="23" t="s">
        <v>727</v>
      </c>
      <c r="O16" s="83">
        <f>D6</f>
        <v>30</v>
      </c>
      <c r="P16" t="s">
        <v>252</v>
      </c>
      <c r="Q16" s="75">
        <f>((420+6*D6)/100)</f>
        <v>6</v>
      </c>
      <c r="R16" s="179" t="s">
        <v>1107</v>
      </c>
      <c r="S16" s="82">
        <f>3+ROUNDUP(O16/7,0)</f>
        <v>8</v>
      </c>
      <c r="T16" s="503" t="s">
        <v>146</v>
      </c>
      <c r="U16" s="415">
        <f>Q16*V16</f>
        <v>30</v>
      </c>
      <c r="V16" s="648">
        <f>IF(O17&gt;=8,5,IF(O17&gt;=6,4,IF(O17&gt;=4,3,IF(O17&gt;=2,2,1))))</f>
        <v>5</v>
      </c>
      <c r="W16" s="1595"/>
      <c r="X16" s="955" t="s">
        <v>1128</v>
      </c>
      <c r="Y16" s="963">
        <f>(U12*Z32+U19*Z32)*G47+IF(A11="true",R62,0)</f>
        <v>12268791.923076922</v>
      </c>
      <c r="Z16" s="106">
        <f>(U12*Z32*2+U19*Z32)*G47+IF(A11="true",R62*2,0)</f>
        <v>13751135.769230768</v>
      </c>
      <c r="AA16" s="106">
        <f>(U12*Z32*3+U19*Z32)*G47+IF(A11="true",R62*3,0)</f>
        <v>15233479.615384614</v>
      </c>
      <c r="AB16" s="115">
        <f>(U12*Z32*4+U19*Z32)*G47+IF(A11="true",R62*4,0)</f>
        <v>16715823.46153846</v>
      </c>
    </row>
    <row r="17" spans="2:28" ht="14.25" thickBot="1">
      <c r="B17" s="22"/>
      <c r="C17" s="21"/>
      <c r="D17" s="138"/>
      <c r="E17" s="42" t="s">
        <v>5</v>
      </c>
      <c r="F17" s="8"/>
      <c r="G17" s="8">
        <v>3</v>
      </c>
      <c r="H17" s="8">
        <v>3</v>
      </c>
      <c r="I17" s="8">
        <v>3</v>
      </c>
      <c r="J17" s="8">
        <v>3</v>
      </c>
      <c r="K17" s="9"/>
      <c r="N17" s="187" t="s">
        <v>1108</v>
      </c>
      <c r="O17" s="313">
        <v>8</v>
      </c>
      <c r="P17" s="1592" t="s">
        <v>145</v>
      </c>
      <c r="Q17" s="1593"/>
      <c r="R17" s="1593"/>
      <c r="S17" s="1593"/>
      <c r="T17" s="737"/>
      <c r="U17" s="738"/>
      <c r="V17" s="402">
        <f>IF(O21&gt;=8,5,IF(O21&gt;=6,4,IF(O21&gt;=4,3,IF(O21&gt;=2,2,1))))</f>
        <v>5</v>
      </c>
      <c r="W17" s="1595"/>
      <c r="X17" s="1059" t="s">
        <v>1129</v>
      </c>
      <c r="Y17" s="1060">
        <f>(U12*Z33+U22*Z33)*G47+IF(A11="true",R62,0)</f>
        <v>16739194.929577464</v>
      </c>
      <c r="Z17" s="1061">
        <f>(U12*Z33*2+U22*Z33)*G47+IF(A11="true",R62*1,0)</f>
        <v>17423059.718309857</v>
      </c>
      <c r="AA17" s="1061">
        <f>(U12*Z33*3+U22*Z33)*G47+IF(A11="true",R62*3,0)</f>
        <v>19671004.50704225</v>
      </c>
      <c r="AB17" s="1062">
        <f>(U12*Z33*4+U22*Z33)*G47+IF(A11="true",R62*4,0)</f>
        <v>21136909.295774646</v>
      </c>
    </row>
    <row r="18" spans="2:28" ht="13.5">
      <c r="B18" s="22"/>
      <c r="C18" s="21"/>
      <c r="D18" s="138"/>
      <c r="E18" s="42" t="s">
        <v>5</v>
      </c>
      <c r="F18" s="8">
        <v>1</v>
      </c>
      <c r="G18" s="8">
        <v>1</v>
      </c>
      <c r="H18" s="8">
        <v>1</v>
      </c>
      <c r="I18" s="8">
        <v>1</v>
      </c>
      <c r="J18" s="8">
        <v>1</v>
      </c>
      <c r="K18" s="9"/>
      <c r="N18" s="1227" t="s">
        <v>304</v>
      </c>
      <c r="O18" s="76" t="s">
        <v>257</v>
      </c>
      <c r="P18" s="196">
        <f>MIN(INT(($R$4*$Q$16)*(1+$B$34+$E$34+$B$52+$K$35))*$V$16,ReadMe!$M$99)</f>
        <v>146640</v>
      </c>
      <c r="Q18" s="624" t="s">
        <v>1253</v>
      </c>
      <c r="R18" s="316" t="s">
        <v>257</v>
      </c>
      <c r="S18" s="527">
        <f>INT(MIN(P18*(0.5*(1+$K$35+$B$34+$E$34)*$V$16),ReadMe!$M$99))</f>
        <v>366600</v>
      </c>
      <c r="T18" s="656"/>
      <c r="U18" s="650">
        <f>INT((P18+S18)*3)</f>
        <v>1539720</v>
      </c>
      <c r="V18" s="402"/>
      <c r="W18" s="1201" t="s">
        <v>834</v>
      </c>
      <c r="X18" s="1069" t="s">
        <v>1328</v>
      </c>
      <c r="Y18" s="1065">
        <f>(U41*Y35+P56)*Z35*G47+IF($A$11="true",$R$62,0)</f>
        <v>11026025.697115386</v>
      </c>
      <c r="Z18" s="1065">
        <f>(U41*Y35+P56*2)*Z35*G47+IF($A$11="true",$R$62,0)</f>
        <v>17966421.85096154</v>
      </c>
      <c r="AA18" s="1065">
        <f>(U41*Y35+P56*3)*Z35*G47+IF($A$11="true",$R$62,0)</f>
        <v>24906818.004807696</v>
      </c>
      <c r="AB18" s="1066">
        <f>(U41*Y35+P56*4)*Z35*G47+IF($A$11="true",$R$62,0)</f>
        <v>31847214.15865385</v>
      </c>
    </row>
    <row r="19" spans="2:28" ht="13.5" customHeight="1">
      <c r="B19" s="22"/>
      <c r="C19" s="21"/>
      <c r="D19" s="138"/>
      <c r="E19" s="42" t="s">
        <v>5</v>
      </c>
      <c r="F19" s="8">
        <v>1</v>
      </c>
      <c r="G19" s="8">
        <v>1</v>
      </c>
      <c r="H19" s="8">
        <v>1</v>
      </c>
      <c r="I19" s="8">
        <v>1</v>
      </c>
      <c r="J19" s="8">
        <v>1</v>
      </c>
      <c r="K19" s="9"/>
      <c r="N19" s="1228"/>
      <c r="O19" s="43" t="s">
        <v>258</v>
      </c>
      <c r="P19" s="197">
        <f>INT((P18+P20)/2)</f>
        <v>178062</v>
      </c>
      <c r="Q19" s="625" t="s">
        <v>1252</v>
      </c>
      <c r="R19" s="40" t="s">
        <v>258</v>
      </c>
      <c r="S19" s="528">
        <f>INT(MIN(P19*(0.5*(1+$K$35+$B$34+$E$34)*$V$16),ReadMe!$M$99))</f>
        <v>445155</v>
      </c>
      <c r="T19" s="657" t="s">
        <v>1135</v>
      </c>
      <c r="U19" s="655">
        <f>INT((P19+S19)*3)</f>
        <v>1869651</v>
      </c>
      <c r="W19" s="1456"/>
      <c r="X19" s="1063" t="s">
        <v>1329</v>
      </c>
      <c r="Y19" s="1064">
        <f>((U41+U12)*Y36+P56)*Z36*G47+IF($A$11="true",$R$62,0)</f>
        <v>11605167.348066298</v>
      </c>
      <c r="Z19" s="1064">
        <f>((U41+U12*2)*Y37+P56*2)*Z37*G47+IF($A$11="true",$R$62,0)</f>
        <v>21588490</v>
      </c>
      <c r="AA19" s="1064">
        <f>((U41+U12*3)*Y38+P56*3)*Z38*G47+IF($A$11="true",$R$62,0)</f>
        <v>35977341.39442231</v>
      </c>
      <c r="AB19" s="1070">
        <f>((U41+U12*4)*Y39+P56*4)*Z39*G47+IF($A$11="true",$R$62,0)</f>
        <v>49566210.43010754</v>
      </c>
    </row>
    <row r="20" spans="2:28" ht="14.25" thickBot="1">
      <c r="B20" s="22"/>
      <c r="C20" s="21"/>
      <c r="D20" s="138"/>
      <c r="E20" s="42" t="s">
        <v>5</v>
      </c>
      <c r="F20" s="8"/>
      <c r="G20" s="8"/>
      <c r="H20" s="8"/>
      <c r="I20" s="8"/>
      <c r="J20" s="8"/>
      <c r="K20" s="9"/>
      <c r="N20" s="1187"/>
      <c r="O20" s="68" t="s">
        <v>259</v>
      </c>
      <c r="P20" s="198">
        <f>MIN(INT(($T$4*Q16)*(1+$B$34+$E$34+$B$52+$K$35))*$V$16,ReadMe!$M$99)</f>
        <v>209485</v>
      </c>
      <c r="Q20" s="226"/>
      <c r="R20" s="54" t="s">
        <v>259</v>
      </c>
      <c r="S20" s="529">
        <f>INT(MIN(P20*(0.5*(1+$K$35+$B$34+$E$34)*$V$16),ReadMe!$M$99))</f>
        <v>523712</v>
      </c>
      <c r="T20" s="658" t="s">
        <v>1254</v>
      </c>
      <c r="U20" s="651">
        <f>INT((P20+S20)*3)</f>
        <v>2199591</v>
      </c>
      <c r="W20" s="1456"/>
      <c r="X20" s="1067" t="s">
        <v>1330</v>
      </c>
      <c r="Y20" s="1068">
        <f>((U48+U12)*Y40+P56)*Z40*G47+IF($A$11="true",$R$62,0)</f>
        <v>10422759.463087246</v>
      </c>
      <c r="Z20" s="1068">
        <f>((U48+U12)*Y41+P56)*2*Z41*G47+IF($A$11="true",$R$62,0)</f>
        <v>22214345.202312134</v>
      </c>
      <c r="AA20" s="1068">
        <f>((U48+U12)*Y42+P56)*3*Z42*G47+IF($A$11="true",$R$62,0)</f>
        <v>35370693.8071066</v>
      </c>
      <c r="AB20" s="1071">
        <f>((U48+U12)*Y43+P56)*4*Z43*G47+IF($A$11="true",$R$62,0)</f>
        <v>49447176.65158371</v>
      </c>
    </row>
    <row r="21" spans="2:28" ht="14.25" thickBot="1">
      <c r="B21" s="22"/>
      <c r="C21" s="21"/>
      <c r="D21" s="138"/>
      <c r="E21" s="42" t="s">
        <v>1305</v>
      </c>
      <c r="F21" s="8"/>
      <c r="G21" s="8">
        <v>2</v>
      </c>
      <c r="H21" s="8">
        <v>2</v>
      </c>
      <c r="I21" s="8">
        <v>2</v>
      </c>
      <c r="J21" s="8">
        <v>2</v>
      </c>
      <c r="K21" s="9"/>
      <c r="N21" s="1054" t="s">
        <v>1108</v>
      </c>
      <c r="O21" s="1055">
        <f>O17+1</f>
        <v>9</v>
      </c>
      <c r="P21" s="1596" t="s">
        <v>147</v>
      </c>
      <c r="Q21" s="1593"/>
      <c r="R21" s="1593"/>
      <c r="S21" s="1593"/>
      <c r="T21" s="737"/>
      <c r="U21" s="738"/>
      <c r="W21" s="1458"/>
      <c r="X21" s="1072" t="s">
        <v>461</v>
      </c>
      <c r="Y21" s="1073">
        <f>(U22+P56)*Z44*G47+IF(A11="true",R62,0)</f>
        <v>17280175.211267605</v>
      </c>
      <c r="Z21" s="1073">
        <f>(U22+P56*2)*Z44*G47+IF(A11="true",R62,0)</f>
        <v>18505020.28169014</v>
      </c>
      <c r="AA21" s="1073">
        <f>(U22+P56*3)*Z44*G47+IF(A11="true",R62,0)</f>
        <v>19729865.352112673</v>
      </c>
      <c r="AB21" s="1074">
        <f>(U22+P56*4)*Z44*G47+IF(A11="true",R62,0)</f>
        <v>20954710.42253521</v>
      </c>
    </row>
    <row r="22" spans="2:23" ht="14.25" thickBot="1">
      <c r="B22" s="22"/>
      <c r="C22" s="21"/>
      <c r="D22" s="138"/>
      <c r="E22" s="42" t="s">
        <v>1307</v>
      </c>
      <c r="F22" s="8"/>
      <c r="G22" s="8">
        <v>3</v>
      </c>
      <c r="H22" s="8">
        <v>3</v>
      </c>
      <c r="I22" s="8">
        <v>3</v>
      </c>
      <c r="J22" s="8">
        <v>3</v>
      </c>
      <c r="K22" s="9"/>
      <c r="N22" s="1573" t="s">
        <v>1251</v>
      </c>
      <c r="O22" s="87" t="s">
        <v>257</v>
      </c>
      <c r="P22" s="155">
        <f>MIN(INT(($R$4*$Q$16)*(1+$B$34+$E$34+$B$52+$K$35)*$V$17*$E$41),ReadMe!$M$99)</f>
        <v>175970</v>
      </c>
      <c r="Q22" s="1046" t="s">
        <v>1110</v>
      </c>
      <c r="R22" s="652" t="s">
        <v>257</v>
      </c>
      <c r="S22" s="527">
        <f>INT(MIN(P22*(0.5*(1+$K$35+$B$34+$E$34)*$V$17),ReadMe!$M$99))</f>
        <v>439925</v>
      </c>
      <c r="T22" s="1576" t="s">
        <v>726</v>
      </c>
      <c r="U22" s="1561">
        <f>U19+P23+S23</f>
        <v>2711009</v>
      </c>
      <c r="W22" t="s">
        <v>913</v>
      </c>
    </row>
    <row r="23" spans="2:25" ht="14.25" thickBot="1">
      <c r="B23" s="22"/>
      <c r="C23" s="21"/>
      <c r="D23" s="138"/>
      <c r="E23" s="42" t="s">
        <v>181</v>
      </c>
      <c r="F23" s="8"/>
      <c r="G23" s="8"/>
      <c r="H23" s="8"/>
      <c r="I23" s="8"/>
      <c r="J23" s="8"/>
      <c r="K23" s="9"/>
      <c r="N23" s="1574"/>
      <c r="O23" s="79" t="s">
        <v>258</v>
      </c>
      <c r="P23" s="1056">
        <f>MIN(INT(($S$4*Q16)*(1+$B$34+$E$34+$B$52+$K$35)*$V$17*($E$41+$F$41)/2),ReadMe!$M$99)</f>
        <v>240388</v>
      </c>
      <c r="Q23" s="1046" t="s">
        <v>1252</v>
      </c>
      <c r="R23" s="653" t="s">
        <v>258</v>
      </c>
      <c r="S23" s="528">
        <f>INT(MIN(P23*(0.5*(1+$K$35+$B$34+$E$34)*$V$17),ReadMe!$M$99))</f>
        <v>600970</v>
      </c>
      <c r="T23" s="1577"/>
      <c r="U23" s="1562"/>
      <c r="W23" s="1405" t="s">
        <v>414</v>
      </c>
      <c r="X23" s="1376"/>
      <c r="Y23" s="952" t="s">
        <v>415</v>
      </c>
    </row>
    <row r="24" spans="2:25" ht="13.5" customHeight="1" thickBot="1">
      <c r="B24" s="22"/>
      <c r="C24" s="21"/>
      <c r="D24" s="138"/>
      <c r="E24" s="42" t="s">
        <v>13</v>
      </c>
      <c r="F24" s="8"/>
      <c r="G24" s="8"/>
      <c r="H24" s="8"/>
      <c r="I24" s="8"/>
      <c r="J24" s="8"/>
      <c r="K24" s="9"/>
      <c r="N24" s="1575"/>
      <c r="O24" s="86" t="s">
        <v>259</v>
      </c>
      <c r="P24" s="1057">
        <f>MIN(INT(($T$4*Q16)*(1+$B$34+$E$34+$B$52+$K$35)*$V$17*$F$41),ReadMe!$M$99)</f>
        <v>314232</v>
      </c>
      <c r="Q24" s="1053"/>
      <c r="R24" s="654" t="s">
        <v>259</v>
      </c>
      <c r="S24" s="529">
        <f>INT(MIN(P24*(0.5*(1+$K$35+$B$34+$E$34)*$V$17),ReadMe!$M$99))</f>
        <v>785580</v>
      </c>
      <c r="T24" s="1578"/>
      <c r="U24" s="1563"/>
      <c r="W24" s="1597" t="s">
        <v>416</v>
      </c>
      <c r="X24" s="1598"/>
      <c r="Y24" s="743">
        <v>83</v>
      </c>
    </row>
    <row r="25" spans="2:25" ht="14.25" customHeight="1" thickBot="1">
      <c r="B25" s="22"/>
      <c r="C25" s="21"/>
      <c r="D25" s="138"/>
      <c r="E25" s="42" t="s">
        <v>1153</v>
      </c>
      <c r="F25" s="8">
        <v>20</v>
      </c>
      <c r="G25" s="8"/>
      <c r="H25" s="8"/>
      <c r="I25" s="8"/>
      <c r="J25" s="8"/>
      <c r="K25" s="9"/>
      <c r="W25" s="1590" t="s">
        <v>417</v>
      </c>
      <c r="X25" s="1591"/>
      <c r="Y25" s="739">
        <v>54</v>
      </c>
    </row>
    <row r="26" spans="2:26" ht="14.25" thickBot="1">
      <c r="B26" s="47"/>
      <c r="C26" s="491"/>
      <c r="D26" s="220"/>
      <c r="E26" s="42" t="s">
        <v>715</v>
      </c>
      <c r="F26" s="8"/>
      <c r="G26" s="8"/>
      <c r="H26" s="8"/>
      <c r="I26" s="8"/>
      <c r="J26" s="8"/>
      <c r="K26" s="9"/>
      <c r="N26" s="1158" t="s">
        <v>338</v>
      </c>
      <c r="O26" s="1159"/>
      <c r="P26" s="1159"/>
      <c r="Q26" s="1159"/>
      <c r="R26" s="1159"/>
      <c r="S26" s="1160"/>
      <c r="T26" s="96"/>
      <c r="U26" s="96"/>
      <c r="W26" s="1242" t="s">
        <v>409</v>
      </c>
      <c r="X26" s="1582"/>
      <c r="Y26" s="740">
        <f>INT(Z26)</f>
        <v>6</v>
      </c>
      <c r="Z26" s="742">
        <f>60/(1.65+O17)</f>
        <v>6.217616580310881</v>
      </c>
    </row>
    <row r="27" spans="2:26" ht="14.25" thickBot="1">
      <c r="B27" s="1132" t="s">
        <v>465</v>
      </c>
      <c r="C27" s="1128"/>
      <c r="D27" s="20">
        <v>9</v>
      </c>
      <c r="E27" s="216" t="s">
        <v>1310</v>
      </c>
      <c r="F27" s="8"/>
      <c r="G27" s="40">
        <f>ROUNDDOWN(G3*D28%,0)</f>
        <v>1</v>
      </c>
      <c r="H27" s="40">
        <f>ROUNDDOWN(H3*D28%,0)</f>
        <v>3</v>
      </c>
      <c r="I27" s="40">
        <f>ROUNDDOWN(I3*D28%,0)</f>
        <v>0</v>
      </c>
      <c r="J27" s="40">
        <f>ROUNDDOWN(J3*D28%,0)</f>
        <v>34</v>
      </c>
      <c r="K27" s="9">
        <v>280</v>
      </c>
      <c r="N27" s="23" t="s">
        <v>727</v>
      </c>
      <c r="O27" s="83">
        <f>D12</f>
        <v>20</v>
      </c>
      <c r="P27" s="188" t="s">
        <v>252</v>
      </c>
      <c r="Q27" s="644">
        <f>(230+3*O27)/100*V7</f>
        <v>3.625</v>
      </c>
      <c r="R27" s="187" t="s">
        <v>267</v>
      </c>
      <c r="S27" s="83">
        <f>Y25</f>
        <v>54</v>
      </c>
      <c r="W27" s="1242" t="s">
        <v>410</v>
      </c>
      <c r="X27" s="1582"/>
      <c r="Y27" s="740">
        <f>INT(Z27)</f>
        <v>6</v>
      </c>
      <c r="Z27" s="742">
        <f>60/(1.9+O17)</f>
        <v>6.0606060606060606</v>
      </c>
    </row>
    <row r="28" spans="2:25" ht="14.25" thickBot="1">
      <c r="B28" s="14" t="s">
        <v>263</v>
      </c>
      <c r="C28" s="538"/>
      <c r="D28" s="46">
        <f>ROUNDUP(D27/2,0)</f>
        <v>5</v>
      </c>
      <c r="E28" s="7" t="s">
        <v>264</v>
      </c>
      <c r="F28" s="43">
        <f>D29</f>
        <v>0</v>
      </c>
      <c r="G28" s="43">
        <f>SUM(G4:G26)</f>
        <v>54</v>
      </c>
      <c r="H28" s="43">
        <f>SUM(H4:H26)</f>
        <v>76</v>
      </c>
      <c r="I28" s="43">
        <f>SUM(I4:I26)</f>
        <v>27</v>
      </c>
      <c r="J28" s="43">
        <f>SUM(J4:J26)</f>
        <v>51</v>
      </c>
      <c r="K28" s="44">
        <f>SUM(K3:K27)+D29</f>
        <v>298</v>
      </c>
      <c r="N28" s="1227" t="s">
        <v>327</v>
      </c>
      <c r="O28" s="76" t="s">
        <v>257</v>
      </c>
      <c r="P28" s="521">
        <f>MIN(INT(($N$4*Q27)*(1+$B$34+$E$34+$B$52+$K$35)),ReadMe!$M$99)</f>
        <v>23625</v>
      </c>
      <c r="Q28" s="1234" t="s">
        <v>725</v>
      </c>
      <c r="R28" s="186" t="s">
        <v>257</v>
      </c>
      <c r="S28" s="155">
        <f>MIN(INT(P28*$E$41),ReadMe!$M$99)</f>
        <v>28350</v>
      </c>
      <c r="T28" s="1564" t="s">
        <v>323</v>
      </c>
      <c r="U28" s="1556">
        <f>INT(P29*(1-$G$41)+S29*$G$41)</f>
        <v>29189</v>
      </c>
      <c r="W28" s="1583" t="s">
        <v>466</v>
      </c>
      <c r="X28" s="1584"/>
      <c r="Y28" s="741">
        <v>48</v>
      </c>
    </row>
    <row r="29" spans="2:26" ht="14.25" thickBot="1">
      <c r="B29" s="17" t="s">
        <v>1378</v>
      </c>
      <c r="C29" s="195"/>
      <c r="D29" s="313">
        <v>0</v>
      </c>
      <c r="E29" s="14" t="s">
        <v>256</v>
      </c>
      <c r="F29" s="48">
        <f>SUM(F4:F28)</f>
        <v>200</v>
      </c>
      <c r="G29" s="546">
        <f>INT((G3+G27+G28)*(1+G32))</f>
        <v>75</v>
      </c>
      <c r="H29" s="546">
        <f>INT((H3+H27+H28)*(1+H32))</f>
        <v>150</v>
      </c>
      <c r="I29" s="546">
        <f>INT((I3+I27+I28)*(1+I32))</f>
        <v>31</v>
      </c>
      <c r="J29" s="546">
        <f>INT((J3+J27+J28)*(1+J32))</f>
        <v>839</v>
      </c>
      <c r="K29" s="547">
        <f>($G$29*0.4+$J$29*0.8+$H$29*1.6+K28)*(1+K32)</f>
        <v>1239.2</v>
      </c>
      <c r="N29" s="1228"/>
      <c r="O29" s="43" t="s">
        <v>258</v>
      </c>
      <c r="P29" s="522">
        <f>INT((P28+P30)/2)</f>
        <v>28687</v>
      </c>
      <c r="Q29" s="1235"/>
      <c r="R29" s="79" t="s">
        <v>258</v>
      </c>
      <c r="S29" s="156">
        <f>MIN(INT(P29*(($E$41+$F$41)/2)),ReadMe!$M$99)</f>
        <v>38727</v>
      </c>
      <c r="T29" s="1565"/>
      <c r="U29" s="1557"/>
      <c r="W29" s="1585" t="s">
        <v>467</v>
      </c>
      <c r="X29" s="111" t="s">
        <v>418</v>
      </c>
      <c r="Y29" s="496">
        <v>42</v>
      </c>
      <c r="Z29" s="323"/>
    </row>
    <row r="30" spans="2:26" ht="14.25" customHeight="1" thickBot="1">
      <c r="B30" s="1305" t="s">
        <v>981</v>
      </c>
      <c r="C30" s="1306"/>
      <c r="D30" s="1306"/>
      <c r="E30" s="1306"/>
      <c r="F30" s="1306"/>
      <c r="G30" s="1306"/>
      <c r="H30" s="1306"/>
      <c r="I30" s="1306"/>
      <c r="J30" s="1306"/>
      <c r="K30" s="1307"/>
      <c r="N30" s="1229"/>
      <c r="O30" s="15" t="s">
        <v>259</v>
      </c>
      <c r="P30" s="523">
        <f>MIN(INT(($P$4*Q27)*(1+$B$34+$E$34+$B$52+$K$35)),ReadMe!$M$99)</f>
        <v>33750</v>
      </c>
      <c r="Q30" s="1236"/>
      <c r="R30" s="86" t="s">
        <v>259</v>
      </c>
      <c r="S30" s="157">
        <f>MIN(INT(P30*$F$41),ReadMe!$M$99)</f>
        <v>50625</v>
      </c>
      <c r="T30" s="1566"/>
      <c r="U30" s="1557"/>
      <c r="W30" s="1586"/>
      <c r="X30" s="114" t="s">
        <v>419</v>
      </c>
      <c r="Y30" s="497">
        <v>37</v>
      </c>
      <c r="Z30" s="648"/>
    </row>
    <row r="31" spans="2:26" ht="13.5">
      <c r="B31" s="1218" t="s">
        <v>762</v>
      </c>
      <c r="C31" s="1219"/>
      <c r="D31" s="1220"/>
      <c r="E31" s="1308" t="s">
        <v>982</v>
      </c>
      <c r="F31" s="1309"/>
      <c r="G31" s="1" t="s">
        <v>986</v>
      </c>
      <c r="H31" s="3" t="s">
        <v>985</v>
      </c>
      <c r="I31" s="3" t="s">
        <v>984</v>
      </c>
      <c r="J31" s="3" t="s">
        <v>983</v>
      </c>
      <c r="K31" s="4" t="s">
        <v>987</v>
      </c>
      <c r="N31" s="1201" t="s">
        <v>1135</v>
      </c>
      <c r="O31" s="84" t="s">
        <v>257</v>
      </c>
      <c r="P31" s="736">
        <f>P28*3</f>
        <v>70875</v>
      </c>
      <c r="Q31" s="1544" t="s">
        <v>1250</v>
      </c>
      <c r="R31" s="1545"/>
      <c r="S31" s="1546"/>
      <c r="T31" s="517" t="s">
        <v>257</v>
      </c>
      <c r="U31" s="527">
        <f>INT(P31+P31*$W$3*$V$7)</f>
        <v>115171</v>
      </c>
      <c r="W31" s="1586"/>
      <c r="X31" s="951" t="s">
        <v>1122</v>
      </c>
      <c r="Y31" s="957">
        <v>48</v>
      </c>
      <c r="Z31" s="648"/>
    </row>
    <row r="32" spans="2:26" ht="14.25" customHeight="1" thickBot="1">
      <c r="B32" s="1210">
        <v>0</v>
      </c>
      <c r="C32" s="1211"/>
      <c r="D32" s="1212"/>
      <c r="E32" s="1130">
        <v>0</v>
      </c>
      <c r="F32" s="1131"/>
      <c r="G32" s="542">
        <v>0</v>
      </c>
      <c r="H32" s="543">
        <v>0</v>
      </c>
      <c r="I32" s="543">
        <v>0</v>
      </c>
      <c r="J32" s="543">
        <v>0.09</v>
      </c>
      <c r="K32" s="544">
        <v>0</v>
      </c>
      <c r="N32" s="1456"/>
      <c r="O32" s="173" t="s">
        <v>335</v>
      </c>
      <c r="P32" s="253">
        <f>U28*3</f>
        <v>87567</v>
      </c>
      <c r="Q32" s="1547"/>
      <c r="R32" s="1548"/>
      <c r="S32" s="1549"/>
      <c r="T32" s="646" t="s">
        <v>335</v>
      </c>
      <c r="U32" s="671">
        <f>INT(P32+P32*$W$3*$V$7)</f>
        <v>142296</v>
      </c>
      <c r="W32" s="1586"/>
      <c r="X32" s="745" t="s">
        <v>1128</v>
      </c>
      <c r="Y32" s="498">
        <f>INT(Z32)</f>
        <v>5</v>
      </c>
      <c r="Z32" s="648">
        <f>60/(0.75+1.65+O17)</f>
        <v>5.769230769230769</v>
      </c>
    </row>
    <row r="33" spans="2:26" ht="14.25" customHeight="1" thickBot="1">
      <c r="B33" s="1221" t="s">
        <v>135</v>
      </c>
      <c r="C33" s="1166"/>
      <c r="D33" s="1177"/>
      <c r="E33" s="1261" t="s">
        <v>877</v>
      </c>
      <c r="F33" s="1262"/>
      <c r="N33" s="1458"/>
      <c r="O33" s="92" t="s">
        <v>329</v>
      </c>
      <c r="P33" s="154">
        <f>S30*3</f>
        <v>151875</v>
      </c>
      <c r="Q33" s="1550"/>
      <c r="R33" s="1551"/>
      <c r="S33" s="1552"/>
      <c r="T33" s="274" t="s">
        <v>259</v>
      </c>
      <c r="U33" s="529">
        <f>INT(P33+P33*$W$3*$V$7)</f>
        <v>246796</v>
      </c>
      <c r="W33" s="1587"/>
      <c r="X33" s="746" t="s">
        <v>1129</v>
      </c>
      <c r="Y33" s="499">
        <f>INT(Z33)</f>
        <v>5</v>
      </c>
      <c r="Z33" s="648">
        <f>60/(0.75+1.9+O17)</f>
        <v>5.633802816901408</v>
      </c>
    </row>
    <row r="34" spans="2:26" ht="14.25" customHeight="1" thickBot="1">
      <c r="B34" s="1210">
        <v>0</v>
      </c>
      <c r="C34" s="1222"/>
      <c r="D34" s="1212"/>
      <c r="E34" s="1130">
        <v>0</v>
      </c>
      <c r="F34" s="1131"/>
      <c r="I34" s="1297" t="s">
        <v>1417</v>
      </c>
      <c r="J34" s="1298"/>
      <c r="K34" s="1299"/>
      <c r="W34" s="402"/>
      <c r="X34" s="402" t="s">
        <v>1331</v>
      </c>
      <c r="Y34" s="402" t="s">
        <v>832</v>
      </c>
      <c r="Z34" s="402" t="s">
        <v>833</v>
      </c>
    </row>
    <row r="35" spans="9:26" ht="14.25" customHeight="1" thickBot="1">
      <c r="I35" s="14" t="s">
        <v>1410</v>
      </c>
      <c r="J35" s="15"/>
      <c r="K35" s="534">
        <v>0</v>
      </c>
      <c r="N35" s="1158" t="s">
        <v>1113</v>
      </c>
      <c r="O35" s="1159"/>
      <c r="P35" s="1159"/>
      <c r="Q35" s="1159"/>
      <c r="R35" s="1159"/>
      <c r="S35" s="1160"/>
      <c r="T35" s="96"/>
      <c r="U35" s="96"/>
      <c r="W35" s="402" t="s">
        <v>947</v>
      </c>
      <c r="X35" s="402">
        <f>60/Y24</f>
        <v>0.7228915662650602</v>
      </c>
      <c r="Y35" s="402">
        <f>15/(6*2*R55)</f>
        <v>1.5624999999999998</v>
      </c>
      <c r="Z35" s="402">
        <f>60/(Y35*X35+U51)</f>
        <v>31.923076923076927</v>
      </c>
    </row>
    <row r="36" spans="2:26" ht="14.25" customHeight="1" thickBot="1">
      <c r="B36" s="1280" t="s">
        <v>88</v>
      </c>
      <c r="C36" s="1281"/>
      <c r="D36" s="1281"/>
      <c r="E36" s="503" t="s">
        <v>257</v>
      </c>
      <c r="F36" s="19" t="s">
        <v>259</v>
      </c>
      <c r="G36" s="504" t="s">
        <v>1085</v>
      </c>
      <c r="N36" s="23" t="s">
        <v>727</v>
      </c>
      <c r="O36" s="83">
        <f>D14</f>
        <v>30</v>
      </c>
      <c r="P36" s="188" t="s">
        <v>252</v>
      </c>
      <c r="Q36" s="644">
        <f>(60+O36)/100*V7</f>
        <v>1.125</v>
      </c>
      <c r="R36" s="187" t="s">
        <v>267</v>
      </c>
      <c r="S36" s="83">
        <v>83</v>
      </c>
      <c r="W36" s="402" t="s">
        <v>948</v>
      </c>
      <c r="X36" s="402">
        <f>60/Y29</f>
        <v>1.4285714285714286</v>
      </c>
      <c r="Y36" s="402">
        <f>15/((6+2)*2*R55)</f>
        <v>1.171875</v>
      </c>
      <c r="Z36" s="402">
        <f>60/(X36*Y36+U51)</f>
        <v>24.751381215469614</v>
      </c>
    </row>
    <row r="37" spans="2:26" ht="14.25" customHeight="1" thickBot="1">
      <c r="B37" s="1213" t="s">
        <v>90</v>
      </c>
      <c r="C37" s="1214"/>
      <c r="D37" s="1215"/>
      <c r="E37" s="35">
        <v>1.2</v>
      </c>
      <c r="F37" s="507">
        <v>1.5</v>
      </c>
      <c r="G37" s="241">
        <v>0.05</v>
      </c>
      <c r="I37" s="1256" t="s">
        <v>438</v>
      </c>
      <c r="J37" s="1300"/>
      <c r="K37" s="1301"/>
      <c r="N37" s="1227" t="s">
        <v>304</v>
      </c>
      <c r="O37" s="76" t="s">
        <v>257</v>
      </c>
      <c r="P37" s="521">
        <f>MIN(INT(($R$4*Q36)*(1+$B$34+$E$34+$B$52+$K$35)),ReadMe!$M$99)</f>
        <v>5499</v>
      </c>
      <c r="Q37" s="1234" t="s">
        <v>725</v>
      </c>
      <c r="R37" s="186" t="s">
        <v>257</v>
      </c>
      <c r="S37" s="155">
        <f>MIN(INT(P37*$E$41),ReadMe!$M$99)</f>
        <v>6598</v>
      </c>
      <c r="T37" s="1564" t="s">
        <v>323</v>
      </c>
      <c r="U37" s="1556">
        <f>INT(P38*(1-$G$41)+S38*$G$41)</f>
        <v>6793</v>
      </c>
      <c r="W37" s="402"/>
      <c r="X37" s="402">
        <v>2</v>
      </c>
      <c r="Y37" s="402">
        <f>15/((6+2*2)*2*R55)</f>
        <v>0.9375</v>
      </c>
      <c r="Z37" s="402">
        <f>60/(X36*Y37+U51)</f>
        <v>28.717948717948715</v>
      </c>
    </row>
    <row r="38" spans="2:26" ht="14.25" customHeight="1" thickBot="1">
      <c r="B38" s="1228" t="s">
        <v>86</v>
      </c>
      <c r="C38" s="1284"/>
      <c r="D38" s="516">
        <v>0</v>
      </c>
      <c r="E38" s="506"/>
      <c r="F38" s="505">
        <f>D38/100</f>
        <v>0</v>
      </c>
      <c r="G38" s="511">
        <f>IF(D38=0,0,(5+ROUNDUP(D38/2,0))/100)</f>
        <v>0</v>
      </c>
      <c r="I38" s="1256" t="s">
        <v>440</v>
      </c>
      <c r="J38" s="1257"/>
      <c r="K38" s="1258"/>
      <c r="N38" s="1228"/>
      <c r="O38" s="43" t="s">
        <v>258</v>
      </c>
      <c r="P38" s="522">
        <f>INT((P37+P39)/2)</f>
        <v>6677</v>
      </c>
      <c r="Q38" s="1235"/>
      <c r="R38" s="79" t="s">
        <v>258</v>
      </c>
      <c r="S38" s="156">
        <f>MIN(INT(P38*(($E$41+$F$41)/2)),ReadMe!$M$99)</f>
        <v>9013</v>
      </c>
      <c r="T38" s="1565"/>
      <c r="U38" s="1557"/>
      <c r="W38" s="402"/>
      <c r="X38" s="402">
        <v>3</v>
      </c>
      <c r="Y38" s="402">
        <f>15/((6+2*2*3)*2*R55)</f>
        <v>0.5208333333333334</v>
      </c>
      <c r="Z38" s="402">
        <f>60/(X36*Y38+U51)</f>
        <v>40.1593625498008</v>
      </c>
    </row>
    <row r="39" spans="1:26" ht="14.25" customHeight="1"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9"/>
      <c r="O39" s="15" t="s">
        <v>259</v>
      </c>
      <c r="P39" s="523">
        <f>MIN(INT(($T$4*Q36)*(1+$B$34+$E$34+$B$52+$K$35)),ReadMe!$M$99)</f>
        <v>7855</v>
      </c>
      <c r="Q39" s="1236"/>
      <c r="R39" s="86" t="s">
        <v>259</v>
      </c>
      <c r="S39" s="157">
        <f>MIN(INT(P39*$F$41),ReadMe!$M$99)</f>
        <v>11782</v>
      </c>
      <c r="T39" s="1565"/>
      <c r="U39" s="1557"/>
      <c r="W39" s="402"/>
      <c r="X39" s="402">
        <v>4</v>
      </c>
      <c r="Y39" s="402">
        <f>15/((6+2*2*4)*2*R55)</f>
        <v>0.4261363636363636</v>
      </c>
      <c r="Z39" s="402">
        <f>60/(X36*Y39+U51)</f>
        <v>44.15770609318997</v>
      </c>
    </row>
    <row r="40" spans="2:26" ht="14.25" customHeight="1" thickBot="1">
      <c r="B40" s="1285" t="s">
        <v>89</v>
      </c>
      <c r="C40" s="1286"/>
      <c r="D40" s="1287"/>
      <c r="E40" s="513">
        <v>0</v>
      </c>
      <c r="F40" s="514">
        <v>0</v>
      </c>
      <c r="G40" s="515">
        <v>0</v>
      </c>
      <c r="N40" s="1201" t="s">
        <v>1379</v>
      </c>
      <c r="O40" s="84" t="s">
        <v>257</v>
      </c>
      <c r="P40" s="736">
        <f>P37*6</f>
        <v>32994</v>
      </c>
      <c r="Q40" s="659"/>
      <c r="R40" s="660"/>
      <c r="S40" s="661"/>
      <c r="T40" s="517" t="s">
        <v>257</v>
      </c>
      <c r="U40" s="527">
        <f>INT(P40+P40*$W$3*$V$7)</f>
        <v>53615</v>
      </c>
      <c r="W40" s="402" t="s">
        <v>949</v>
      </c>
      <c r="X40" s="402">
        <f>60/Y31</f>
        <v>1.25</v>
      </c>
      <c r="Y40" s="402">
        <f>15/((2+1)*2*R55)</f>
        <v>3.1249999999999996</v>
      </c>
      <c r="Z40" s="402">
        <f>60/($X$40*Y40+$U$51)</f>
        <v>12.885906040268456</v>
      </c>
    </row>
    <row r="41" spans="2:26" ht="14.25" thickBot="1">
      <c r="B41" s="1290" t="s">
        <v>91</v>
      </c>
      <c r="C41" s="1291"/>
      <c r="D41" s="1292"/>
      <c r="E41" s="508">
        <f>E37+E39+E40</f>
        <v>1.2</v>
      </c>
      <c r="F41" s="509">
        <f>F37+MAX(F38,F39)+F40</f>
        <v>1.5</v>
      </c>
      <c r="G41" s="510">
        <f>G37+MAX(G38,G39)+G40</f>
        <v>0.05</v>
      </c>
      <c r="I41" s="1259" t="s">
        <v>128</v>
      </c>
      <c r="J41" s="1260"/>
      <c r="K41" s="791"/>
      <c r="L41" s="402" t="b">
        <v>0</v>
      </c>
      <c r="M41" s="486" t="str">
        <f>IF(L41=TRUE,"TRUE",IF(K41=1,"TRUE","FLASE"))</f>
        <v>FLASE</v>
      </c>
      <c r="N41" s="1456"/>
      <c r="O41" s="173" t="s">
        <v>335</v>
      </c>
      <c r="P41" s="253">
        <f>U37*6</f>
        <v>40758</v>
      </c>
      <c r="Q41" s="1567" t="s">
        <v>1250</v>
      </c>
      <c r="R41" s="1568"/>
      <c r="S41" s="1569"/>
      <c r="T41" s="646" t="s">
        <v>335</v>
      </c>
      <c r="U41" s="671">
        <f>INT(P41+P41*$W$3*$V$7)</f>
        <v>66231</v>
      </c>
      <c r="W41" s="402"/>
      <c r="X41" s="402">
        <v>2</v>
      </c>
      <c r="Y41" s="402">
        <f>15/((2+1)*X41*2*$R$55)</f>
        <v>1.5624999999999998</v>
      </c>
      <c r="Z41" s="402">
        <f>60/($X$40*Y41+$U$51)</f>
        <v>22.196531791907514</v>
      </c>
    </row>
    <row r="42" spans="2:26" ht="14.25" thickBot="1">
      <c r="B42" s="1216" t="s">
        <v>331</v>
      </c>
      <c r="C42" s="1199"/>
      <c r="D42" s="1200"/>
      <c r="E42" s="1253">
        <f>(($E$41+$F$41)/2-1)*$G$41+1</f>
        <v>1.0175</v>
      </c>
      <c r="F42" s="1254"/>
      <c r="G42" s="1255"/>
      <c r="I42" s="590" t="s">
        <v>1119</v>
      </c>
      <c r="J42" s="788"/>
      <c r="K42" s="789">
        <v>0</v>
      </c>
      <c r="N42" s="1458"/>
      <c r="O42" s="92" t="s">
        <v>329</v>
      </c>
      <c r="P42" s="154">
        <f>S39*6</f>
        <v>70692</v>
      </c>
      <c r="Q42" s="1570"/>
      <c r="R42" s="1571"/>
      <c r="S42" s="1572"/>
      <c r="T42" s="274" t="s">
        <v>259</v>
      </c>
      <c r="U42" s="529">
        <f>INT(P42+P42*$W$3*$V$7)</f>
        <v>114874</v>
      </c>
      <c r="W42" s="402"/>
      <c r="X42" s="402">
        <v>3</v>
      </c>
      <c r="Y42" s="402">
        <f>15/((2+1)*X42*2*$R$55)</f>
        <v>1.0416666666666667</v>
      </c>
      <c r="Z42" s="402">
        <f>60/($X$40*Y42+$U$51)</f>
        <v>29.238578680203045</v>
      </c>
    </row>
    <row r="43" spans="9:26" ht="14.25" thickBot="1">
      <c r="I43" s="1251" t="s">
        <v>854</v>
      </c>
      <c r="J43" s="1252"/>
      <c r="K43" s="790">
        <f>IF(M41="true",IF(K42&gt;0,10+ROUNDUP(K42/3,0),10)/100,0)</f>
        <v>0</v>
      </c>
      <c r="L43" s="323"/>
      <c r="M43" s="323"/>
      <c r="W43" s="402"/>
      <c r="X43" s="402">
        <v>4</v>
      </c>
      <c r="Y43" s="402">
        <f>15/((2+1)*X43*2*$R$55)</f>
        <v>0.7812499999999999</v>
      </c>
      <c r="Z43" s="402">
        <f>60/($X$40*Y43+$U$51)</f>
        <v>34.751131221719454</v>
      </c>
    </row>
    <row r="44" spans="14:26" ht="14.25" thickBot="1">
      <c r="N44" s="1158" t="s">
        <v>1111</v>
      </c>
      <c r="O44" s="1159"/>
      <c r="P44" s="1159"/>
      <c r="Q44" s="1159"/>
      <c r="R44" s="1159"/>
      <c r="S44" s="1160"/>
      <c r="T44" s="96"/>
      <c r="U44" s="96"/>
      <c r="W44" s="402" t="s">
        <v>407</v>
      </c>
      <c r="X44" s="402">
        <f>1.9+O17</f>
        <v>9.9</v>
      </c>
      <c r="Y44" s="402" t="s">
        <v>462</v>
      </c>
      <c r="Z44" s="402">
        <f>60/(X44+U51)</f>
        <v>5.633802816901408</v>
      </c>
    </row>
    <row r="45" spans="2:23" ht="14.25" thickBot="1">
      <c r="B45" s="1282" t="s">
        <v>735</v>
      </c>
      <c r="C45" s="1283"/>
      <c r="D45" s="533">
        <v>125</v>
      </c>
      <c r="E45" s="1249" t="s">
        <v>736</v>
      </c>
      <c r="F45" s="1250"/>
      <c r="G45" s="25">
        <f>IF(D2&gt;D45,0,$D$45-$D$2)</f>
        <v>0</v>
      </c>
      <c r="I45" s="1137" t="s">
        <v>159</v>
      </c>
      <c r="J45" s="1138"/>
      <c r="K45" s="1139"/>
      <c r="N45" s="23" t="s">
        <v>727</v>
      </c>
      <c r="O45" s="83">
        <f>D13</f>
        <v>20</v>
      </c>
      <c r="P45" s="188" t="s">
        <v>252</v>
      </c>
      <c r="Q45" s="644">
        <f>(315+4*O45)/100*V7</f>
        <v>4.9375</v>
      </c>
      <c r="R45" s="187" t="s">
        <v>1112</v>
      </c>
      <c r="S45" s="83">
        <v>6</v>
      </c>
      <c r="W45" s="365"/>
    </row>
    <row r="46" spans="2:21" ht="13.5">
      <c r="B46" s="1242" t="s">
        <v>769</v>
      </c>
      <c r="C46" s="1243"/>
      <c r="D46" s="9">
        <v>12</v>
      </c>
      <c r="E46" s="1242" t="s">
        <v>771</v>
      </c>
      <c r="F46" s="1243"/>
      <c r="G46" s="615">
        <f>IF(G45&gt;0,"-",D46)</f>
        <v>12</v>
      </c>
      <c r="I46" s="416" t="s">
        <v>160</v>
      </c>
      <c r="J46" s="539"/>
      <c r="K46" s="204">
        <v>0</v>
      </c>
      <c r="L46" s="323"/>
      <c r="M46" s="323"/>
      <c r="N46" s="1227" t="s">
        <v>304</v>
      </c>
      <c r="O46" s="76" t="s">
        <v>257</v>
      </c>
      <c r="P46" s="521">
        <f>MIN(INT(($R$4*Q45)*(1+$B$34+$E$34+$B$52+$K$35)),ReadMe!$M$99)</f>
        <v>24134</v>
      </c>
      <c r="Q46" s="1234" t="s">
        <v>725</v>
      </c>
      <c r="R46" s="186" t="s">
        <v>257</v>
      </c>
      <c r="S46" s="733">
        <f>MIN(INT(P46*$E$41),ReadMe!$M$99)</f>
        <v>28960</v>
      </c>
      <c r="T46" s="1579" t="s">
        <v>323</v>
      </c>
      <c r="U46" s="1559">
        <f>INT(P47*(1-$G$41)+S47*$G$41)</f>
        <v>29818</v>
      </c>
    </row>
    <row r="47" spans="2:22" ht="14.25" thickBot="1">
      <c r="B47" s="1293" t="s">
        <v>734</v>
      </c>
      <c r="C47" s="1294"/>
      <c r="D47" s="9">
        <v>0</v>
      </c>
      <c r="E47" s="1242" t="s">
        <v>770</v>
      </c>
      <c r="F47" s="1243"/>
      <c r="G47" s="511">
        <f>MAX((MIN(100+SQRT($K$29)-SQRT($D$46),100)-2*G45)/100,0)</f>
        <v>1</v>
      </c>
      <c r="I47" s="417" t="s">
        <v>161</v>
      </c>
      <c r="J47" s="540"/>
      <c r="K47" s="418">
        <f>IF(K46&gt;0,(K46+10)/100,0)</f>
        <v>0</v>
      </c>
      <c r="N47" s="1228"/>
      <c r="O47" s="43" t="s">
        <v>258</v>
      </c>
      <c r="P47" s="522">
        <f>INT((P46+P48)/2)</f>
        <v>29306</v>
      </c>
      <c r="Q47" s="1235"/>
      <c r="R47" s="79" t="s">
        <v>258</v>
      </c>
      <c r="S47" s="734">
        <f>MIN(INT(P47*(($E$41+$F$41)/2)),ReadMe!$M$99)</f>
        <v>39563</v>
      </c>
      <c r="T47" s="1580"/>
      <c r="U47" s="1560"/>
      <c r="V47" s="318"/>
    </row>
    <row r="48" spans="2:21" ht="14.25" thickBot="1">
      <c r="B48" s="1278" t="s">
        <v>979</v>
      </c>
      <c r="C48" s="1279"/>
      <c r="D48" s="534">
        <v>0.25</v>
      </c>
      <c r="E48" s="1197" t="s">
        <v>980</v>
      </c>
      <c r="F48" s="1198"/>
      <c r="G48" s="28">
        <f>1-(D48-ROUNDUP(D48*(K47+B32),2))</f>
        <v>0.75</v>
      </c>
      <c r="N48" s="1229"/>
      <c r="O48" s="15" t="s">
        <v>259</v>
      </c>
      <c r="P48" s="523">
        <f>MIN(INT(($T$4*Q45)*(1+$B$34+$E$34+$B$52+$K$35)),ReadMe!$M$99)</f>
        <v>34478</v>
      </c>
      <c r="Q48" s="1236"/>
      <c r="R48" s="86" t="s">
        <v>259</v>
      </c>
      <c r="S48" s="735">
        <f>MIN(INT(P48*$F$41),ReadMe!$M$99)</f>
        <v>51717</v>
      </c>
      <c r="T48" s="1102" t="s">
        <v>878</v>
      </c>
      <c r="U48" s="1034">
        <f>INT(U46+U46*$W$3*$V$7)</f>
        <v>48454</v>
      </c>
    </row>
    <row r="49" spans="4:13" ht="14.25" customHeight="1" thickBot="1">
      <c r="D49" s="402">
        <f>$D$47*(1-($K$47+$B$32))</f>
        <v>0</v>
      </c>
      <c r="I49" s="1246" t="s">
        <v>79</v>
      </c>
      <c r="J49" s="1247"/>
      <c r="K49" s="1248"/>
      <c r="L49" s="323"/>
      <c r="M49" s="162"/>
    </row>
    <row r="50" spans="2:21" ht="14.25" customHeight="1" thickBot="1">
      <c r="B50" s="1153" t="s">
        <v>1084</v>
      </c>
      <c r="C50" s="1133"/>
      <c r="D50" s="1129"/>
      <c r="I50" s="1127" t="s">
        <v>988</v>
      </c>
      <c r="J50" s="1217"/>
      <c r="K50" s="468"/>
      <c r="L50" s="486" t="b">
        <v>0</v>
      </c>
      <c r="M50" s="486" t="str">
        <f>IF(L50=TRUE,"TRUE",IF(K50=1,"TRUE","FLASE"))</f>
        <v>FLASE</v>
      </c>
      <c r="N50" s="1158" t="s">
        <v>1124</v>
      </c>
      <c r="O50" s="1159"/>
      <c r="P50" s="1159"/>
      <c r="Q50" s="1159"/>
      <c r="R50" s="1159"/>
      <c r="S50" s="1160"/>
      <c r="T50" s="96"/>
      <c r="U50" s="96"/>
    </row>
    <row r="51" spans="2:21" ht="14.25" customHeight="1" thickBot="1">
      <c r="B51" s="1187" t="s">
        <v>877</v>
      </c>
      <c r="C51" s="1188"/>
      <c r="D51" s="1189"/>
      <c r="I51" s="1244" t="s">
        <v>989</v>
      </c>
      <c r="J51" s="1245"/>
      <c r="K51" s="469"/>
      <c r="L51" s="486" t="b">
        <v>0</v>
      </c>
      <c r="M51" s="486" t="str">
        <f>IF(L51=TRUE,"TRUE",IF(K51=1,"TRUE","FLASE"))</f>
        <v>FLASE</v>
      </c>
      <c r="N51" s="23" t="s">
        <v>727</v>
      </c>
      <c r="O51" s="83">
        <f>D15</f>
        <v>20</v>
      </c>
      <c r="P51" s="188" t="s">
        <v>252</v>
      </c>
      <c r="Q51" s="75">
        <f>(100+4*O51)/100+D16</f>
        <v>2.4</v>
      </c>
      <c r="R51" s="187" t="s">
        <v>1127</v>
      </c>
      <c r="S51" s="83">
        <f>5+INT(O51/2)</f>
        <v>15</v>
      </c>
      <c r="T51" s="402" t="s">
        <v>1269</v>
      </c>
      <c r="U51" s="402">
        <f>60/80</f>
        <v>0.75</v>
      </c>
    </row>
    <row r="52" spans="2:21" ht="14.25" customHeight="1" thickBot="1">
      <c r="B52" s="1194">
        <v>0</v>
      </c>
      <c r="C52" s="1195"/>
      <c r="D52" s="1196"/>
      <c r="I52" s="1240" t="s">
        <v>854</v>
      </c>
      <c r="J52" s="1241"/>
      <c r="K52" s="206">
        <f>IF(M50="TRUE",1.04,IF(M51="TRUE",1.02,1))</f>
        <v>1</v>
      </c>
      <c r="L52" s="333"/>
      <c r="M52" s="333"/>
      <c r="N52" s="1227" t="s">
        <v>304</v>
      </c>
      <c r="O52" s="76" t="s">
        <v>257</v>
      </c>
      <c r="P52" s="521">
        <f>MIN(INT(($R$4*Q51)*(1+$B$34+$E$34+$B$52+$K$35)),ReadMe!$M$99)</f>
        <v>11731</v>
      </c>
      <c r="Q52" s="1234" t="s">
        <v>725</v>
      </c>
      <c r="R52" s="186" t="s">
        <v>257</v>
      </c>
      <c r="S52" s="155">
        <f>MIN(INT(P52*$E$41),ReadMe!$M$99)</f>
        <v>14077</v>
      </c>
      <c r="T52" s="1579" t="s">
        <v>323</v>
      </c>
      <c r="U52" s="1556">
        <f>INT(P53*(1-$G$41)+S53*$G$41)</f>
        <v>14494</v>
      </c>
    </row>
    <row r="53" spans="14:21" ht="14.25" customHeight="1" thickBot="1">
      <c r="N53" s="1228"/>
      <c r="O53" s="43" t="s">
        <v>258</v>
      </c>
      <c r="P53" s="522">
        <f>INT((P52+P54)/2)</f>
        <v>14245</v>
      </c>
      <c r="Q53" s="1235"/>
      <c r="R53" s="79" t="s">
        <v>258</v>
      </c>
      <c r="S53" s="156">
        <f>MIN(INT(P53*(($E$41+$F$41)/2)),ReadMe!$M$99)</f>
        <v>19230</v>
      </c>
      <c r="T53" s="1580"/>
      <c r="U53" s="1557"/>
    </row>
    <row r="54" spans="2:21" ht="14.25" customHeight="1" thickBot="1">
      <c r="B54" s="1201" t="s">
        <v>265</v>
      </c>
      <c r="C54" s="1202"/>
      <c r="D54" s="1202"/>
      <c r="E54" s="1202"/>
      <c r="F54" s="1202"/>
      <c r="G54" s="1202"/>
      <c r="H54" s="1202"/>
      <c r="I54" s="1202"/>
      <c r="J54" s="1202"/>
      <c r="K54" s="1202"/>
      <c r="L54" s="1203"/>
      <c r="N54" s="1229"/>
      <c r="O54" s="15" t="s">
        <v>259</v>
      </c>
      <c r="P54" s="523">
        <f>MIN(INT(($T$4*Q51)*(1+$B$34+$E$34+$B$52+$K$35)),ReadMe!$M$99)</f>
        <v>16759</v>
      </c>
      <c r="Q54" s="1236"/>
      <c r="R54" s="86" t="s">
        <v>259</v>
      </c>
      <c r="S54" s="157">
        <f>MIN(INT(P54*$F$41),ReadMe!$M$99)</f>
        <v>25138</v>
      </c>
      <c r="T54" s="1581"/>
      <c r="U54" s="1558"/>
    </row>
    <row r="55" spans="2:18" ht="14.25" customHeight="1">
      <c r="B55" s="1268" t="s">
        <v>413</v>
      </c>
      <c r="C55" s="1270"/>
      <c r="D55" s="1270"/>
      <c r="E55" s="1270"/>
      <c r="F55" s="1270"/>
      <c r="G55" s="1270"/>
      <c r="H55" s="1270"/>
      <c r="I55" s="1270"/>
      <c r="J55" s="1270"/>
      <c r="K55" s="1270"/>
      <c r="L55" s="1272"/>
      <c r="N55" s="1201" t="s">
        <v>279</v>
      </c>
      <c r="O55" s="84" t="s">
        <v>257</v>
      </c>
      <c r="P55" s="736">
        <f>P52*S51</f>
        <v>175965</v>
      </c>
      <c r="Q55" s="402" t="s">
        <v>831</v>
      </c>
      <c r="R55" s="502">
        <f>(60+D8*2)/100</f>
        <v>0.8</v>
      </c>
    </row>
    <row r="56" spans="2:16" ht="14.25" customHeight="1">
      <c r="B56" s="1273" t="s">
        <v>1143</v>
      </c>
      <c r="C56" s="1275"/>
      <c r="D56" s="1275"/>
      <c r="E56" s="1275"/>
      <c r="F56" s="1275"/>
      <c r="G56" s="1275"/>
      <c r="H56" s="1275"/>
      <c r="I56" s="1275"/>
      <c r="J56" s="1275"/>
      <c r="K56" s="1275"/>
      <c r="L56" s="1277"/>
      <c r="N56" s="1456"/>
      <c r="O56" s="173" t="s">
        <v>335</v>
      </c>
      <c r="P56" s="253">
        <f>U52*S51</f>
        <v>217410</v>
      </c>
    </row>
    <row r="57" spans="2:16" ht="14.25" customHeight="1" thickBot="1">
      <c r="B57" s="1273" t="s">
        <v>1144</v>
      </c>
      <c r="C57" s="1275"/>
      <c r="D57" s="1275"/>
      <c r="E57" s="1275"/>
      <c r="F57" s="1275"/>
      <c r="G57" s="1275"/>
      <c r="H57" s="1275"/>
      <c r="I57" s="1275"/>
      <c r="J57" s="1275"/>
      <c r="K57" s="1275"/>
      <c r="L57" s="1277"/>
      <c r="N57" s="1458"/>
      <c r="O57" s="92" t="s">
        <v>329</v>
      </c>
      <c r="P57" s="154">
        <f>S54*S51</f>
        <v>377070</v>
      </c>
    </row>
    <row r="58" spans="2:12" ht="14.25" customHeight="1" thickBot="1">
      <c r="B58" s="1599" t="s">
        <v>137</v>
      </c>
      <c r="C58" s="1600"/>
      <c r="D58" s="1600"/>
      <c r="E58" s="1600"/>
      <c r="F58" s="1600"/>
      <c r="G58" s="1600"/>
      <c r="H58" s="1600"/>
      <c r="I58" s="1600"/>
      <c r="J58" s="1600"/>
      <c r="K58" s="1600"/>
      <c r="L58" s="1601"/>
    </row>
    <row r="59" spans="2:18" ht="14.25" customHeight="1" thickBot="1">
      <c r="B59" s="1599" t="s">
        <v>136</v>
      </c>
      <c r="C59" s="1600"/>
      <c r="D59" s="1600"/>
      <c r="E59" s="1600"/>
      <c r="F59" s="1600"/>
      <c r="G59" s="1600"/>
      <c r="H59" s="1600"/>
      <c r="I59" s="1600"/>
      <c r="J59" s="1600"/>
      <c r="K59" s="1600"/>
      <c r="L59" s="1601"/>
      <c r="N59" s="1158" t="s">
        <v>1311</v>
      </c>
      <c r="O59" s="1160"/>
      <c r="Q59" s="1604" t="s">
        <v>1255</v>
      </c>
      <c r="R59" s="1605"/>
    </row>
    <row r="60" spans="2:21" ht="14.25" customHeight="1" thickBot="1">
      <c r="B60" s="1273" t="s">
        <v>676</v>
      </c>
      <c r="C60" s="1275"/>
      <c r="D60" s="1275"/>
      <c r="E60" s="1275"/>
      <c r="F60" s="1275"/>
      <c r="G60" s="1275"/>
      <c r="H60" s="1275"/>
      <c r="I60" s="1275"/>
      <c r="J60" s="1275"/>
      <c r="K60" s="1275"/>
      <c r="L60" s="1277"/>
      <c r="N60" s="282" t="s">
        <v>252</v>
      </c>
      <c r="O60" s="283">
        <f>(80+4*D9)/100</f>
        <v>0.84</v>
      </c>
      <c r="Q60" s="17" t="s">
        <v>252</v>
      </c>
      <c r="R60" s="75">
        <f>(50+3*D10)/100</f>
        <v>1.4</v>
      </c>
      <c r="U60" s="317"/>
    </row>
    <row r="61" spans="2:21" ht="14.25" thickBot="1">
      <c r="B61" s="1553" t="s">
        <v>708</v>
      </c>
      <c r="C61" s="1554"/>
      <c r="D61" s="1554"/>
      <c r="E61" s="1554"/>
      <c r="F61" s="1554"/>
      <c r="G61" s="1554"/>
      <c r="H61" s="1554"/>
      <c r="I61" s="1554"/>
      <c r="J61" s="1554"/>
      <c r="K61" s="1554"/>
      <c r="L61" s="1555"/>
      <c r="N61" s="276" t="s">
        <v>872</v>
      </c>
      <c r="O61" s="277">
        <f>4+ROUNDUP(D9/3,0)</f>
        <v>5</v>
      </c>
      <c r="Q61" s="51" t="s">
        <v>1313</v>
      </c>
      <c r="R61" s="676">
        <f>INT(P4*R60)</f>
        <v>13034</v>
      </c>
      <c r="T61" s="317"/>
      <c r="U61" s="317"/>
    </row>
    <row r="62" spans="2:21" ht="14.25" thickBot="1">
      <c r="B62" s="1263" t="s">
        <v>677</v>
      </c>
      <c r="C62" s="1265"/>
      <c r="D62" s="1265"/>
      <c r="E62" s="1265"/>
      <c r="F62" s="1265"/>
      <c r="G62" s="1265"/>
      <c r="H62" s="1265"/>
      <c r="I62" s="1265"/>
      <c r="J62" s="1265"/>
      <c r="K62" s="1265"/>
      <c r="L62" s="1267"/>
      <c r="N62" s="274" t="s">
        <v>1313</v>
      </c>
      <c r="O62" s="143" t="s">
        <v>1216</v>
      </c>
      <c r="Q62" s="21"/>
      <c r="R62" s="648">
        <f>R61*60</f>
        <v>782040</v>
      </c>
      <c r="S62" s="21"/>
      <c r="U62" s="317"/>
    </row>
    <row r="63" ht="14.25" thickBot="1"/>
    <row r="64" spans="14:19" ht="14.25" thickBot="1">
      <c r="N64" s="1237" t="s">
        <v>1405</v>
      </c>
      <c r="O64" s="1238"/>
      <c r="P64" s="1238"/>
      <c r="Q64" s="1239"/>
      <c r="R64" s="465" t="s">
        <v>310</v>
      </c>
      <c r="S64" s="462">
        <v>0.7</v>
      </c>
    </row>
    <row r="65" spans="14:19" ht="14.25" thickBot="1">
      <c r="N65" s="1342" t="s">
        <v>1406</v>
      </c>
      <c r="O65" s="1343"/>
      <c r="P65" s="463">
        <v>1</v>
      </c>
      <c r="Q65" s="1181" t="s">
        <v>1334</v>
      </c>
      <c r="R65" s="1182"/>
      <c r="S65" s="313">
        <v>1</v>
      </c>
    </row>
    <row r="66" spans="14:19" ht="13.5">
      <c r="N66" s="1227" t="s">
        <v>304</v>
      </c>
      <c r="O66" s="76" t="s">
        <v>257</v>
      </c>
      <c r="P66" s="521">
        <f>MIN(INT(($R$4*P65)*(1+$B$34+$E$34+$B$52+$K$35)),ReadMe!$M$99)</f>
        <v>4888</v>
      </c>
      <c r="Q66" s="1234" t="s">
        <v>725</v>
      </c>
      <c r="R66" s="186" t="s">
        <v>257</v>
      </c>
      <c r="S66" s="155">
        <f>MIN(INT(P66*$E$41),ReadMe!$M$99)</f>
        <v>5865</v>
      </c>
    </row>
    <row r="67" spans="14:19" ht="13.5">
      <c r="N67" s="1228"/>
      <c r="O67" s="43" t="s">
        <v>258</v>
      </c>
      <c r="P67" s="522">
        <f>INT((P66+P68)/2)</f>
        <v>5935</v>
      </c>
      <c r="Q67" s="1235"/>
      <c r="R67" s="79" t="s">
        <v>258</v>
      </c>
      <c r="S67" s="156">
        <f>MIN(INT(P67*(($E$41+$F$41)/2)),ReadMe!$M$99)</f>
        <v>8012</v>
      </c>
    </row>
    <row r="68" spans="14:19" ht="14.25" thickBot="1">
      <c r="N68" s="1229"/>
      <c r="O68" s="15" t="s">
        <v>259</v>
      </c>
      <c r="P68" s="523">
        <f>MIN(INT(($T$4*P65)*(1+$B$34+$E$34+$B$52+$K$35)),ReadMe!$M$99)</f>
        <v>6982</v>
      </c>
      <c r="Q68" s="1236"/>
      <c r="R68" s="86" t="s">
        <v>259</v>
      </c>
      <c r="S68" s="157">
        <f>MIN(INT(P68*$F$41),ReadMe!$M$99)</f>
        <v>10473</v>
      </c>
    </row>
    <row r="69" spans="14:19" ht="14.25" thickBot="1">
      <c r="N69" s="1302" t="s">
        <v>323</v>
      </c>
      <c r="O69" s="1303"/>
      <c r="P69" s="1304"/>
      <c r="Q69" s="1186">
        <f>INT(P67*(1-$G$41)+S67*$G$41)</f>
        <v>6038</v>
      </c>
      <c r="R69" s="1178"/>
      <c r="S69" s="1179"/>
    </row>
    <row r="70" spans="14:19" ht="14.25" thickBot="1">
      <c r="N70" s="1302" t="s">
        <v>726</v>
      </c>
      <c r="O70" s="1303"/>
      <c r="P70" s="1304"/>
      <c r="Q70" s="1186">
        <f>Q69*S65</f>
        <v>6038</v>
      </c>
      <c r="R70" s="1178"/>
      <c r="S70" s="1179"/>
    </row>
  </sheetData>
  <sheetProtection/>
  <protectedRanges>
    <protectedRange sqref="D45:D46 D48" name="範囲1_1_1"/>
  </protectedRanges>
  <mergeCells count="123">
    <mergeCell ref="W10:X10"/>
    <mergeCell ref="W11:X11"/>
    <mergeCell ref="W6:AB6"/>
    <mergeCell ref="W8:X8"/>
    <mergeCell ref="W9:X9"/>
    <mergeCell ref="W7:X7"/>
    <mergeCell ref="B27:C27"/>
    <mergeCell ref="B6:C6"/>
    <mergeCell ref="B36:D36"/>
    <mergeCell ref="Q59:R59"/>
    <mergeCell ref="E46:F46"/>
    <mergeCell ref="B37:D37"/>
    <mergeCell ref="B38:C38"/>
    <mergeCell ref="B45:C45"/>
    <mergeCell ref="I52:J52"/>
    <mergeCell ref="B46:C46"/>
    <mergeCell ref="B34:D34"/>
    <mergeCell ref="E33:F33"/>
    <mergeCell ref="E34:F34"/>
    <mergeCell ref="E42:G42"/>
    <mergeCell ref="B33:D33"/>
    <mergeCell ref="B39:C39"/>
    <mergeCell ref="B40:D40"/>
    <mergeCell ref="B41:D41"/>
    <mergeCell ref="B42:D42"/>
    <mergeCell ref="B62:L62"/>
    <mergeCell ref="B47:C47"/>
    <mergeCell ref="E47:F47"/>
    <mergeCell ref="B48:C48"/>
    <mergeCell ref="B52:D52"/>
    <mergeCell ref="B56:L56"/>
    <mergeCell ref="B51:D51"/>
    <mergeCell ref="B57:L57"/>
    <mergeCell ref="B55:L55"/>
    <mergeCell ref="B54:L54"/>
    <mergeCell ref="N64:Q64"/>
    <mergeCell ref="B60:L60"/>
    <mergeCell ref="Q46:Q48"/>
    <mergeCell ref="N59:O59"/>
    <mergeCell ref="B50:D50"/>
    <mergeCell ref="E48:F48"/>
    <mergeCell ref="B58:L58"/>
    <mergeCell ref="B59:L59"/>
    <mergeCell ref="N46:N48"/>
    <mergeCell ref="N50:S50"/>
    <mergeCell ref="N70:P70"/>
    <mergeCell ref="Q70:S70"/>
    <mergeCell ref="Q69:S69"/>
    <mergeCell ref="N65:O65"/>
    <mergeCell ref="Q65:R65"/>
    <mergeCell ref="N66:N68"/>
    <mergeCell ref="N69:P69"/>
    <mergeCell ref="Q66:Q68"/>
    <mergeCell ref="W12:X12"/>
    <mergeCell ref="N15:U15"/>
    <mergeCell ref="W25:X25"/>
    <mergeCell ref="N18:N20"/>
    <mergeCell ref="P17:S17"/>
    <mergeCell ref="W13:W17"/>
    <mergeCell ref="P21:S21"/>
    <mergeCell ref="W23:X23"/>
    <mergeCell ref="W24:X24"/>
    <mergeCell ref="W18:W21"/>
    <mergeCell ref="W26:X26"/>
    <mergeCell ref="W27:X27"/>
    <mergeCell ref="W28:X28"/>
    <mergeCell ref="W29:W33"/>
    <mergeCell ref="R2:T2"/>
    <mergeCell ref="N11:N13"/>
    <mergeCell ref="N6:U6"/>
    <mergeCell ref="N8:N10"/>
    <mergeCell ref="Q8:Q10"/>
    <mergeCell ref="T8:T10"/>
    <mergeCell ref="Q11:S13"/>
    <mergeCell ref="U8:U10"/>
    <mergeCell ref="B30:K30"/>
    <mergeCell ref="N28:N30"/>
    <mergeCell ref="N31:N33"/>
    <mergeCell ref="F1:P1"/>
    <mergeCell ref="N2:P2"/>
    <mergeCell ref="B2:C2"/>
    <mergeCell ref="B4:D4"/>
    <mergeCell ref="B10:C10"/>
    <mergeCell ref="B31:D31"/>
    <mergeCell ref="B32:D32"/>
    <mergeCell ref="N22:N24"/>
    <mergeCell ref="E31:F31"/>
    <mergeCell ref="T22:T24"/>
    <mergeCell ref="T52:T54"/>
    <mergeCell ref="T37:T39"/>
    <mergeCell ref="E45:F45"/>
    <mergeCell ref="I51:J51"/>
    <mergeCell ref="T46:T47"/>
    <mergeCell ref="N26:S26"/>
    <mergeCell ref="E32:F32"/>
    <mergeCell ref="U22:U24"/>
    <mergeCell ref="U28:U30"/>
    <mergeCell ref="U37:U39"/>
    <mergeCell ref="Q52:Q54"/>
    <mergeCell ref="Q28:Q30"/>
    <mergeCell ref="T28:T30"/>
    <mergeCell ref="Q41:S41"/>
    <mergeCell ref="Q42:S42"/>
    <mergeCell ref="Q37:Q39"/>
    <mergeCell ref="I38:K38"/>
    <mergeCell ref="U52:U54"/>
    <mergeCell ref="U46:U47"/>
    <mergeCell ref="N40:N42"/>
    <mergeCell ref="I41:J41"/>
    <mergeCell ref="B61:L61"/>
    <mergeCell ref="N55:N57"/>
    <mergeCell ref="N52:N54"/>
    <mergeCell ref="I49:K49"/>
    <mergeCell ref="V2:W2"/>
    <mergeCell ref="I45:K45"/>
    <mergeCell ref="I50:J50"/>
    <mergeCell ref="N44:S44"/>
    <mergeCell ref="I43:J43"/>
    <mergeCell ref="Q31:S33"/>
    <mergeCell ref="I37:K37"/>
    <mergeCell ref="I34:K34"/>
    <mergeCell ref="N35:S35"/>
    <mergeCell ref="N37:N39"/>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7.xml><?xml version="1.0" encoding="utf-8"?>
<worksheet xmlns="http://schemas.openxmlformats.org/spreadsheetml/2006/main" xmlns:r="http://schemas.openxmlformats.org/officeDocument/2006/relationships">
  <dimension ref="A1:W62"/>
  <sheetViews>
    <sheetView workbookViewId="0" topLeftCell="J1">
      <selection activeCell="D23" sqref="D23"/>
    </sheetView>
  </sheetViews>
  <sheetFormatPr defaultColWidth="9.00390625" defaultRowHeight="13.5"/>
  <cols>
    <col min="1" max="1" width="2.625" style="0" customWidth="1"/>
    <col min="2" max="11" width="5.625" style="0" customWidth="1"/>
    <col min="12" max="13" width="2.625" style="0" customWidth="1"/>
    <col min="16" max="16" width="9.125" style="0" bestFit="1" customWidth="1"/>
    <col min="17" max="19" width="9.875" style="0" customWidth="1"/>
  </cols>
  <sheetData>
    <row r="1" spans="6:16" ht="24.75" thickBot="1">
      <c r="F1" s="1223" t="s">
        <v>468</v>
      </c>
      <c r="G1" s="1223"/>
      <c r="H1" s="1223"/>
      <c r="I1" s="1223"/>
      <c r="J1" s="1223"/>
      <c r="K1" s="1223"/>
      <c r="L1" s="1223"/>
      <c r="M1" s="1223"/>
      <c r="N1" s="1223"/>
      <c r="O1" s="1223"/>
      <c r="P1" s="1223"/>
    </row>
    <row r="2" spans="2:23" ht="14.25" thickBot="1">
      <c r="B2" s="1153" t="s">
        <v>447</v>
      </c>
      <c r="C2" s="1154"/>
      <c r="D2" s="2">
        <v>150</v>
      </c>
      <c r="E2" s="1"/>
      <c r="F2" s="3" t="s">
        <v>325</v>
      </c>
      <c r="G2" s="3" t="s">
        <v>448</v>
      </c>
      <c r="H2" s="3" t="s">
        <v>449</v>
      </c>
      <c r="I2" s="3" t="s">
        <v>454</v>
      </c>
      <c r="J2" s="3" t="s">
        <v>453</v>
      </c>
      <c r="K2" s="25" t="s">
        <v>749</v>
      </c>
      <c r="N2" s="1224" t="s">
        <v>301</v>
      </c>
      <c r="O2" s="1225"/>
      <c r="P2" s="1226"/>
      <c r="R2" s="1224" t="s">
        <v>737</v>
      </c>
      <c r="S2" s="1225"/>
      <c r="T2" s="1226"/>
      <c r="V2" s="1616" t="s">
        <v>1039</v>
      </c>
      <c r="W2" s="1617"/>
    </row>
    <row r="3" spans="2:23" ht="14.25" thickBot="1">
      <c r="B3" s="5" t="s">
        <v>241</v>
      </c>
      <c r="C3" s="536"/>
      <c r="D3" s="6">
        <f>((D2-1)*5+IF(D2&gt;=120,35,IF(D2&gt;=70,30,25)))-(G3+H3+J3+I3)</f>
        <v>0</v>
      </c>
      <c r="E3" s="7" t="s">
        <v>242</v>
      </c>
      <c r="F3" s="8"/>
      <c r="G3" s="8">
        <v>4</v>
      </c>
      <c r="H3" s="8">
        <v>69</v>
      </c>
      <c r="I3" s="8">
        <v>4</v>
      </c>
      <c r="J3" s="8">
        <v>703</v>
      </c>
      <c r="K3" s="9"/>
      <c r="N3" s="10" t="s">
        <v>270</v>
      </c>
      <c r="O3" s="11" t="s">
        <v>271</v>
      </c>
      <c r="P3" s="12" t="s">
        <v>272</v>
      </c>
      <c r="R3" s="70" t="s">
        <v>270</v>
      </c>
      <c r="S3" s="71" t="s">
        <v>271</v>
      </c>
      <c r="T3" s="72" t="s">
        <v>272</v>
      </c>
      <c r="V3" s="226"/>
      <c r="W3" s="1052">
        <f>0.5*(1+K35)*(1+B34)*(1+E34)*(1+B52)</f>
        <v>0.5</v>
      </c>
    </row>
    <row r="4" spans="2:20" ht="14.25" thickBot="1">
      <c r="B4" s="1201" t="s">
        <v>420</v>
      </c>
      <c r="C4" s="1202"/>
      <c r="D4" s="1202"/>
      <c r="E4" s="7" t="s">
        <v>243</v>
      </c>
      <c r="F4" s="8">
        <v>72</v>
      </c>
      <c r="G4" s="8"/>
      <c r="H4" s="8"/>
      <c r="I4" s="8"/>
      <c r="J4" s="8">
        <v>10</v>
      </c>
      <c r="K4" s="9"/>
      <c r="N4" s="14">
        <f>P4*0.65</f>
        <v>6156.76425</v>
      </c>
      <c r="O4" s="15">
        <f>(P4+N4)/2</f>
        <v>7814.354625</v>
      </c>
      <c r="P4" s="16">
        <f>$Q$4*($F$29+INT(($F$29*($E$32+$K$52+$K$43-1))))/100</f>
        <v>9471.945</v>
      </c>
      <c r="Q4" s="402">
        <f>1.75*(4*$J$29+$H$29)</f>
        <v>6443.5</v>
      </c>
      <c r="R4" s="14">
        <f>N4*$G$48*(1-$G$45/100)</f>
        <v>4863.843757500001</v>
      </c>
      <c r="S4" s="15">
        <f>O4*$G$48*(1-$G$45/100)</f>
        <v>6173.34015375</v>
      </c>
      <c r="T4" s="16">
        <f>P4*$G$48*(1-$G$45/100)</f>
        <v>7482.83655</v>
      </c>
    </row>
    <row r="5" spans="2:11" ht="14.25" thickBot="1">
      <c r="B5" s="163" t="s">
        <v>244</v>
      </c>
      <c r="C5" s="397"/>
      <c r="D5" s="164">
        <v>4</v>
      </c>
      <c r="E5" s="7" t="s">
        <v>245</v>
      </c>
      <c r="F5" s="8"/>
      <c r="G5" s="8"/>
      <c r="H5" s="8"/>
      <c r="I5" s="8"/>
      <c r="J5" s="8"/>
      <c r="K5" s="9"/>
    </row>
    <row r="6" spans="2:20" ht="14.25" thickBot="1">
      <c r="B6" s="664" t="s">
        <v>469</v>
      </c>
      <c r="C6" s="665"/>
      <c r="D6" s="137">
        <v>30</v>
      </c>
      <c r="E6" s="42" t="s">
        <v>246</v>
      </c>
      <c r="F6" s="8"/>
      <c r="G6" s="8">
        <v>10</v>
      </c>
      <c r="H6" s="8">
        <v>20</v>
      </c>
      <c r="I6" s="8">
        <v>10</v>
      </c>
      <c r="J6" s="8">
        <v>10</v>
      </c>
      <c r="K6" s="9">
        <v>10</v>
      </c>
      <c r="N6" s="1224" t="s">
        <v>884</v>
      </c>
      <c r="O6" s="1225"/>
      <c r="P6" s="1226"/>
      <c r="R6" s="1224" t="s">
        <v>1247</v>
      </c>
      <c r="S6" s="1225"/>
      <c r="T6" s="1226"/>
    </row>
    <row r="7" spans="2:20" ht="14.25" thickBot="1">
      <c r="B7" s="14" t="s">
        <v>1312</v>
      </c>
      <c r="C7" s="15"/>
      <c r="D7" s="228">
        <v>1</v>
      </c>
      <c r="E7" s="42" t="s">
        <v>247</v>
      </c>
      <c r="F7" s="8">
        <v>5</v>
      </c>
      <c r="G7" s="8"/>
      <c r="H7" s="8"/>
      <c r="I7" s="8"/>
      <c r="J7" s="8"/>
      <c r="K7" s="9"/>
      <c r="N7" s="10" t="s">
        <v>270</v>
      </c>
      <c r="O7" s="11" t="s">
        <v>271</v>
      </c>
      <c r="P7" s="12" t="s">
        <v>272</v>
      </c>
      <c r="R7" s="70" t="s">
        <v>270</v>
      </c>
      <c r="S7" s="71" t="s">
        <v>271</v>
      </c>
      <c r="T7" s="72" t="s">
        <v>272</v>
      </c>
    </row>
    <row r="8" spans="1:20" ht="14.25" thickBot="1">
      <c r="A8" s="402" t="b">
        <v>1</v>
      </c>
      <c r="B8" s="1432" t="s">
        <v>1255</v>
      </c>
      <c r="C8" s="1433"/>
      <c r="D8" s="204">
        <v>30</v>
      </c>
      <c r="E8" s="42" t="s">
        <v>248</v>
      </c>
      <c r="F8" s="8">
        <v>2</v>
      </c>
      <c r="G8" s="8"/>
      <c r="H8" s="8">
        <v>2</v>
      </c>
      <c r="I8" s="8"/>
      <c r="J8" s="8"/>
      <c r="K8" s="9">
        <v>7</v>
      </c>
      <c r="N8" s="14">
        <f>P8*0.713</f>
        <v>7866.589605</v>
      </c>
      <c r="O8" s="15">
        <f>(P8+N8)/2</f>
        <v>9449.8373025</v>
      </c>
      <c r="P8" s="16">
        <f>$Q$8/100*($F$29+INT(($F$29-$F$25)*$E$32)+INT($F$29*($K$43+$K$52-1)))</f>
        <v>11033.085000000001</v>
      </c>
      <c r="Q8" s="402">
        <f>J29*8.5</f>
        <v>7505.5</v>
      </c>
      <c r="R8" s="14">
        <f>N8*$G$49*(1-$G$45/100)</f>
        <v>6529.269372150001</v>
      </c>
      <c r="S8" s="15">
        <f>O8*$G$49*(1-$G$45/100)</f>
        <v>7843.364961075001</v>
      </c>
      <c r="T8" s="16">
        <f>P8*$G$49*(1-$G$45/100)</f>
        <v>9157.460550000002</v>
      </c>
    </row>
    <row r="9" spans="1:11" ht="14.25" thickBot="1">
      <c r="A9" s="402" t="str">
        <f>IF(A8=TRUE,"TRUE",IF(D9=1,"TRUE","FLASE"))</f>
        <v>TRUE</v>
      </c>
      <c r="B9" s="14" t="s">
        <v>1256</v>
      </c>
      <c r="C9" s="15"/>
      <c r="D9" s="501"/>
      <c r="E9" s="42" t="s">
        <v>249</v>
      </c>
      <c r="F9" s="8"/>
      <c r="G9" s="8">
        <v>7</v>
      </c>
      <c r="H9" s="8">
        <v>7</v>
      </c>
      <c r="I9" s="8">
        <v>7</v>
      </c>
      <c r="J9" s="8">
        <v>7</v>
      </c>
      <c r="K9" s="9"/>
    </row>
    <row r="10" spans="2:21" ht="14.25" thickBot="1">
      <c r="B10" s="590" t="s">
        <v>1120</v>
      </c>
      <c r="C10" s="3"/>
      <c r="D10" s="137">
        <v>10</v>
      </c>
      <c r="E10" s="42" t="s">
        <v>250</v>
      </c>
      <c r="F10" s="8"/>
      <c r="G10" s="8"/>
      <c r="H10" s="8">
        <v>10</v>
      </c>
      <c r="I10" s="8"/>
      <c r="J10" s="8"/>
      <c r="K10" s="9"/>
      <c r="N10" s="1158" t="s">
        <v>469</v>
      </c>
      <c r="O10" s="1159"/>
      <c r="P10" s="1159"/>
      <c r="Q10" s="1159"/>
      <c r="R10" s="1159"/>
      <c r="S10" s="1159"/>
      <c r="T10" s="1045" t="s">
        <v>295</v>
      </c>
      <c r="U10" s="836">
        <f>ROUNDUP(D6/2,0)/100+K47</f>
        <v>0.15</v>
      </c>
    </row>
    <row r="11" spans="1:21" ht="14.25" thickBot="1">
      <c r="A11" s="502">
        <f>(5+2*D10)/100+1</f>
        <v>1.25</v>
      </c>
      <c r="B11" s="7" t="s">
        <v>877</v>
      </c>
      <c r="C11" s="43"/>
      <c r="D11" s="511">
        <f>A11-1</f>
        <v>0.25</v>
      </c>
      <c r="E11" s="42" t="s">
        <v>698</v>
      </c>
      <c r="F11" s="8"/>
      <c r="G11" s="8"/>
      <c r="H11" s="8"/>
      <c r="I11" s="8"/>
      <c r="J11" s="8"/>
      <c r="K11" s="9"/>
      <c r="N11" s="667" t="s">
        <v>447</v>
      </c>
      <c r="O11" s="668">
        <f>D6</f>
        <v>30</v>
      </c>
      <c r="P11" s="666" t="s">
        <v>252</v>
      </c>
      <c r="Q11" s="415">
        <f>(204+O11*3)/100</f>
        <v>2.94</v>
      </c>
      <c r="R11" s="179" t="s">
        <v>244</v>
      </c>
      <c r="S11" s="82">
        <v>4</v>
      </c>
      <c r="T11" s="1058" t="s">
        <v>267</v>
      </c>
      <c r="U11" s="73">
        <v>98</v>
      </c>
    </row>
    <row r="12" spans="1:21" ht="13.5" customHeight="1" thickBot="1">
      <c r="A12" s="402" t="b">
        <v>0</v>
      </c>
      <c r="B12" s="53" t="s">
        <v>478</v>
      </c>
      <c r="C12" s="15"/>
      <c r="D12" s="28">
        <f>IF(A13="true",0,(D10*2)/100)</f>
        <v>0.2</v>
      </c>
      <c r="E12" s="42" t="s">
        <v>587</v>
      </c>
      <c r="F12" s="8"/>
      <c r="G12" s="8"/>
      <c r="H12" s="8">
        <v>1</v>
      </c>
      <c r="I12" s="8"/>
      <c r="J12" s="8">
        <v>20</v>
      </c>
      <c r="K12" s="9"/>
      <c r="N12" s="1485" t="s">
        <v>304</v>
      </c>
      <c r="O12" s="88" t="s">
        <v>257</v>
      </c>
      <c r="P12" s="628">
        <f>MIN(INT(($N$4*$G$49*Q11)*(1+$B$34+$E$34+$B$52+$K$35)),ReadMe!$M$99)</f>
        <v>15023</v>
      </c>
      <c r="Q12" s="1636" t="s">
        <v>725</v>
      </c>
      <c r="R12" s="649" t="s">
        <v>257</v>
      </c>
      <c r="S12" s="613">
        <f>MIN(INT(P12*$E$41),ReadMe!$M$99)</f>
        <v>20281</v>
      </c>
      <c r="T12" s="1635" t="s">
        <v>335</v>
      </c>
      <c r="U12" s="1634">
        <f>INT(P13*(1-$G$41)+S13*$G$41)</f>
        <v>24253</v>
      </c>
    </row>
    <row r="13" spans="1:21" ht="14.25" thickBot="1">
      <c r="A13" s="402" t="str">
        <f>IF(A12=TRUE,"TRUE",IF(D13=1,"TRUE","FLASE"))</f>
        <v>FLASE</v>
      </c>
      <c r="B13" s="1018" t="s">
        <v>479</v>
      </c>
      <c r="C13" s="397"/>
      <c r="D13" s="589"/>
      <c r="E13" s="42" t="s">
        <v>697</v>
      </c>
      <c r="F13" s="8"/>
      <c r="G13" s="8"/>
      <c r="H13" s="8">
        <v>13</v>
      </c>
      <c r="I13" s="8"/>
      <c r="J13" s="8">
        <v>5</v>
      </c>
      <c r="K13" s="9"/>
      <c r="N13" s="1228"/>
      <c r="O13" s="43" t="s">
        <v>258</v>
      </c>
      <c r="P13" s="522">
        <f>INT((P12+P14)/2)</f>
        <v>19068</v>
      </c>
      <c r="Q13" s="1235"/>
      <c r="R13" s="79" t="s">
        <v>258</v>
      </c>
      <c r="S13" s="156">
        <f>MIN(INT(P13*(($E$41+$F$41)/2)),ReadMe!$M$99)</f>
        <v>27171</v>
      </c>
      <c r="T13" s="1635"/>
      <c r="U13" s="1557"/>
    </row>
    <row r="14" spans="1:21" ht="14.25" thickBot="1">
      <c r="A14" s="402"/>
      <c r="B14" s="218"/>
      <c r="C14" s="397"/>
      <c r="D14" s="219"/>
      <c r="E14" s="42" t="s">
        <v>260</v>
      </c>
      <c r="F14" s="8"/>
      <c r="G14" s="8"/>
      <c r="H14" s="8">
        <v>15</v>
      </c>
      <c r="I14" s="8"/>
      <c r="J14" s="8">
        <v>3</v>
      </c>
      <c r="K14" s="9">
        <v>1</v>
      </c>
      <c r="N14" s="1229"/>
      <c r="O14" s="15" t="s">
        <v>259</v>
      </c>
      <c r="P14" s="523">
        <f>MIN(INT(($P$4*$G$49*Q11)*(1+$B$34+$E$34+$B$52+$K$35)),ReadMe!$M$99)</f>
        <v>23113</v>
      </c>
      <c r="Q14" s="1236"/>
      <c r="R14" s="86" t="s">
        <v>259</v>
      </c>
      <c r="S14" s="157">
        <f>MIN(INT(P14*$F$41),ReadMe!$M$99)</f>
        <v>34669</v>
      </c>
      <c r="T14" s="1635"/>
      <c r="U14" s="1557"/>
    </row>
    <row r="15" spans="2:21" ht="13.5">
      <c r="B15" s="22"/>
      <c r="C15" s="21"/>
      <c r="D15" s="138"/>
      <c r="E15" s="42" t="s">
        <v>261</v>
      </c>
      <c r="F15" s="8">
        <v>15</v>
      </c>
      <c r="G15" s="8"/>
      <c r="H15" s="8"/>
      <c r="I15" s="8"/>
      <c r="J15" s="8"/>
      <c r="K15" s="9"/>
      <c r="N15" s="1227" t="s">
        <v>1135</v>
      </c>
      <c r="O15" s="84" t="s">
        <v>257</v>
      </c>
      <c r="P15" s="77">
        <f>P12*3</f>
        <v>45069</v>
      </c>
      <c r="Q15" s="1544" t="s">
        <v>1250</v>
      </c>
      <c r="R15" s="1545"/>
      <c r="S15" s="1546"/>
      <c r="T15" s="517" t="s">
        <v>257</v>
      </c>
      <c r="U15" s="527">
        <f>INT(P15+(P15*$W$3))</f>
        <v>67603</v>
      </c>
    </row>
    <row r="16" spans="2:21" ht="13.5" customHeight="1">
      <c r="B16" s="22"/>
      <c r="C16" s="21"/>
      <c r="D16" s="138"/>
      <c r="E16" s="42" t="s">
        <v>262</v>
      </c>
      <c r="F16" s="8">
        <v>4</v>
      </c>
      <c r="G16" s="8"/>
      <c r="H16" s="8"/>
      <c r="I16" s="8"/>
      <c r="J16" s="8">
        <v>8</v>
      </c>
      <c r="K16" s="9"/>
      <c r="N16" s="1228"/>
      <c r="O16" s="173" t="s">
        <v>335</v>
      </c>
      <c r="P16" s="477">
        <f>U12*3</f>
        <v>72759</v>
      </c>
      <c r="Q16" s="1547"/>
      <c r="R16" s="1548"/>
      <c r="S16" s="1549"/>
      <c r="T16" s="646" t="s">
        <v>335</v>
      </c>
      <c r="U16" s="671">
        <f>INT(P16+(P16*$W$3))</f>
        <v>109138</v>
      </c>
    </row>
    <row r="17" spans="2:21" ht="13.5" customHeight="1" thickBot="1">
      <c r="B17" s="22"/>
      <c r="C17" s="21"/>
      <c r="D17" s="138"/>
      <c r="E17" s="42" t="s">
        <v>5</v>
      </c>
      <c r="F17" s="8"/>
      <c r="G17" s="8">
        <v>3</v>
      </c>
      <c r="H17" s="8">
        <v>3</v>
      </c>
      <c r="I17" s="8">
        <v>3</v>
      </c>
      <c r="J17" s="8">
        <v>3</v>
      </c>
      <c r="K17" s="9"/>
      <c r="N17" s="1229"/>
      <c r="O17" s="92" t="s">
        <v>259</v>
      </c>
      <c r="P17" s="647">
        <f>S14*3</f>
        <v>104007</v>
      </c>
      <c r="Q17" s="1550"/>
      <c r="R17" s="1551"/>
      <c r="S17" s="1552"/>
      <c r="T17" s="274" t="s">
        <v>259</v>
      </c>
      <c r="U17" s="529">
        <f>INT(P17+(P17*$W$3))</f>
        <v>156010</v>
      </c>
    </row>
    <row r="18" spans="2:21" ht="13.5" customHeight="1" thickBot="1">
      <c r="B18" s="22"/>
      <c r="C18" s="21"/>
      <c r="D18" s="138"/>
      <c r="E18" s="42" t="s">
        <v>5</v>
      </c>
      <c r="F18" s="8">
        <v>1</v>
      </c>
      <c r="G18" s="8">
        <v>1</v>
      </c>
      <c r="H18" s="8">
        <v>1</v>
      </c>
      <c r="I18" s="8">
        <v>1</v>
      </c>
      <c r="J18" s="8">
        <v>1</v>
      </c>
      <c r="K18" s="9"/>
      <c r="N18" s="1342" t="s">
        <v>542</v>
      </c>
      <c r="O18" s="1420"/>
      <c r="P18" s="1420"/>
      <c r="Q18" s="1343"/>
      <c r="R18" s="1632">
        <f>(U16*U11+IF(A9="true",R30,0))*G47</f>
        <v>11345024</v>
      </c>
      <c r="S18" s="1632"/>
      <c r="T18" s="1632"/>
      <c r="U18" s="1633"/>
    </row>
    <row r="19" spans="2:11" ht="13.5" customHeight="1" thickBot="1">
      <c r="B19" s="22"/>
      <c r="C19" s="21"/>
      <c r="D19" s="138"/>
      <c r="E19" s="42" t="s">
        <v>5</v>
      </c>
      <c r="F19" s="8">
        <v>1</v>
      </c>
      <c r="G19" s="8">
        <v>1</v>
      </c>
      <c r="H19" s="8">
        <v>1</v>
      </c>
      <c r="I19" s="8">
        <v>1</v>
      </c>
      <c r="J19" s="8">
        <v>1</v>
      </c>
      <c r="K19" s="9"/>
    </row>
    <row r="20" spans="2:19" ht="13.5" customHeight="1" thickBot="1">
      <c r="B20" s="22"/>
      <c r="C20" s="21"/>
      <c r="D20" s="138"/>
      <c r="E20" s="42" t="s">
        <v>5</v>
      </c>
      <c r="F20" s="8"/>
      <c r="G20" s="8"/>
      <c r="H20" s="8"/>
      <c r="I20" s="8"/>
      <c r="J20" s="8"/>
      <c r="K20" s="9"/>
      <c r="N20" s="1158" t="s">
        <v>999</v>
      </c>
      <c r="O20" s="1159"/>
      <c r="P20" s="1159"/>
      <c r="Q20" s="1160"/>
      <c r="R20" s="282" t="s">
        <v>252</v>
      </c>
      <c r="S20" s="283">
        <f>350*A11/100</f>
        <v>4.375</v>
      </c>
    </row>
    <row r="21" spans="2:19" ht="13.5" customHeight="1">
      <c r="B21" s="22"/>
      <c r="C21" s="21"/>
      <c r="D21" s="138"/>
      <c r="E21" s="42" t="s">
        <v>1305</v>
      </c>
      <c r="F21" s="8"/>
      <c r="G21" s="8">
        <v>2</v>
      </c>
      <c r="H21" s="8">
        <v>2</v>
      </c>
      <c r="I21" s="8">
        <v>2</v>
      </c>
      <c r="J21" s="8">
        <v>2</v>
      </c>
      <c r="K21" s="9"/>
      <c r="N21" s="1227" t="s">
        <v>304</v>
      </c>
      <c r="O21" s="76" t="s">
        <v>257</v>
      </c>
      <c r="P21" s="521">
        <f>MIN(INT(($R$4*S20)*(1+$B$34+$E$34+$B$52+$K$35)),ReadMe!$M$99)</f>
        <v>21279</v>
      </c>
      <c r="Q21" s="1234" t="s">
        <v>725</v>
      </c>
      <c r="R21" s="186" t="s">
        <v>257</v>
      </c>
      <c r="S21" s="155">
        <f>MIN(INT(P21*$E$41),ReadMe!$M$99)</f>
        <v>28726</v>
      </c>
    </row>
    <row r="22" spans="2:19" ht="13.5">
      <c r="B22" s="22"/>
      <c r="C22" s="21"/>
      <c r="D22" s="138"/>
      <c r="E22" s="42" t="s">
        <v>1307</v>
      </c>
      <c r="F22" s="8"/>
      <c r="G22" s="8">
        <v>3</v>
      </c>
      <c r="H22" s="8">
        <v>3</v>
      </c>
      <c r="I22" s="8">
        <v>3</v>
      </c>
      <c r="J22" s="8">
        <v>3</v>
      </c>
      <c r="K22" s="9"/>
      <c r="N22" s="1228"/>
      <c r="O22" s="43" t="s">
        <v>258</v>
      </c>
      <c r="P22" s="522">
        <f>INT((P21+P23)/2)</f>
        <v>27008</v>
      </c>
      <c r="Q22" s="1235"/>
      <c r="R22" s="79" t="s">
        <v>258</v>
      </c>
      <c r="S22" s="156">
        <f>MIN(INT(P22*(($E$41+$F$41)/2)),ReadMe!$M$99)</f>
        <v>38486</v>
      </c>
    </row>
    <row r="23" spans="2:19" ht="14.25" thickBot="1">
      <c r="B23" s="22"/>
      <c r="C23" s="21"/>
      <c r="D23" s="138"/>
      <c r="E23" s="42" t="s">
        <v>181</v>
      </c>
      <c r="F23" s="8"/>
      <c r="G23" s="8"/>
      <c r="H23" s="8"/>
      <c r="I23" s="8"/>
      <c r="J23" s="8"/>
      <c r="K23" s="9"/>
      <c r="N23" s="1229"/>
      <c r="O23" s="15" t="s">
        <v>259</v>
      </c>
      <c r="P23" s="523">
        <f>MIN(INT(($T$4*S20)*(1+$B$34+$E$34+$B$52+$K$35)),ReadMe!$M$99)</f>
        <v>32737</v>
      </c>
      <c r="Q23" s="1236"/>
      <c r="R23" s="86" t="s">
        <v>259</v>
      </c>
      <c r="S23" s="157">
        <f>MIN(INT(P23*$F$41),ReadMe!$M$99)</f>
        <v>49105</v>
      </c>
    </row>
    <row r="24" spans="2:20" ht="14.25" thickBot="1">
      <c r="B24" s="22"/>
      <c r="C24" s="21"/>
      <c r="D24" s="138"/>
      <c r="E24" s="42" t="s">
        <v>13</v>
      </c>
      <c r="F24" s="8"/>
      <c r="G24" s="8"/>
      <c r="H24" s="8"/>
      <c r="I24" s="8"/>
      <c r="J24" s="8"/>
      <c r="K24" s="9"/>
      <c r="N24" s="1302" t="s">
        <v>323</v>
      </c>
      <c r="O24" s="1303"/>
      <c r="P24" s="1507"/>
      <c r="Q24" s="1462">
        <f>INT(P22*(1-$G$41)+S22*$G$41)</f>
        <v>34353</v>
      </c>
      <c r="R24" s="1463"/>
      <c r="S24" s="1464"/>
      <c r="T24" s="57"/>
    </row>
    <row r="25" spans="2:19" ht="14.25" thickBot="1">
      <c r="B25" s="47"/>
      <c r="C25" s="491"/>
      <c r="D25" s="220"/>
      <c r="E25" s="42" t="s">
        <v>1153</v>
      </c>
      <c r="F25" s="8">
        <v>20</v>
      </c>
      <c r="G25" s="8"/>
      <c r="H25" s="8"/>
      <c r="I25" s="8"/>
      <c r="J25" s="8"/>
      <c r="K25" s="9"/>
      <c r="N25" s="1629" t="s">
        <v>422</v>
      </c>
      <c r="O25" s="1630"/>
      <c r="P25" s="1631"/>
      <c r="Q25" s="1627">
        <f>INT(Q24+(Q24*W3*A11))</f>
        <v>55823</v>
      </c>
      <c r="R25" s="1627"/>
      <c r="S25" s="1628"/>
    </row>
    <row r="26" spans="2:11" ht="14.25" thickBot="1">
      <c r="B26" s="10" t="s">
        <v>421</v>
      </c>
      <c r="C26" s="552"/>
      <c r="D26" s="20">
        <v>27</v>
      </c>
      <c r="E26" s="7" t="s">
        <v>714</v>
      </c>
      <c r="F26" s="8"/>
      <c r="G26" s="8"/>
      <c r="H26" s="8"/>
      <c r="I26" s="8"/>
      <c r="J26" s="8"/>
      <c r="K26" s="9"/>
    </row>
    <row r="27" spans="2:19" ht="14.25" thickBot="1">
      <c r="B27" s="1428" t="s">
        <v>470</v>
      </c>
      <c r="C27" s="1429"/>
      <c r="D27" s="2">
        <v>9</v>
      </c>
      <c r="E27" s="216" t="s">
        <v>1310</v>
      </c>
      <c r="F27" s="8"/>
      <c r="G27" s="40">
        <f>ROUNDDOWN(G3*D28%,0)</f>
        <v>0</v>
      </c>
      <c r="H27" s="40">
        <f>ROUNDDOWN(H3*D28%,0)</f>
        <v>3</v>
      </c>
      <c r="I27" s="40">
        <f>ROUNDDOWN(I3*D28%,0)</f>
        <v>0</v>
      </c>
      <c r="J27" s="40">
        <f>ROUNDDOWN(J3*D28%,0)</f>
        <v>35</v>
      </c>
      <c r="K27" s="9">
        <v>160</v>
      </c>
      <c r="N27" s="1158" t="s">
        <v>1311</v>
      </c>
      <c r="O27" s="1160"/>
      <c r="P27" s="289"/>
      <c r="Q27" s="1604" t="s">
        <v>1255</v>
      </c>
      <c r="R27" s="1605"/>
      <c r="S27" s="192"/>
    </row>
    <row r="28" spans="2:19" ht="14.25" thickBot="1">
      <c r="B28" s="14" t="s">
        <v>263</v>
      </c>
      <c r="C28" s="538"/>
      <c r="D28" s="46">
        <f>ROUNDUP(D27/2,0)</f>
        <v>5</v>
      </c>
      <c r="E28" s="7" t="s">
        <v>264</v>
      </c>
      <c r="F28" s="43">
        <f>D29</f>
        <v>0</v>
      </c>
      <c r="G28" s="43">
        <f>SUM(G4:G26)</f>
        <v>27</v>
      </c>
      <c r="H28" s="43">
        <f>SUM(H4:H26)</f>
        <v>78</v>
      </c>
      <c r="I28" s="43">
        <f>SUM(I4:I26)</f>
        <v>27</v>
      </c>
      <c r="J28" s="43">
        <f>SUM(J4:J26)</f>
        <v>73</v>
      </c>
      <c r="K28" s="44">
        <f>SUM(K3:K27)+D29</f>
        <v>178</v>
      </c>
      <c r="N28" s="282" t="s">
        <v>252</v>
      </c>
      <c r="O28" s="283">
        <f>IF($D$7=0,0,IF($D$7&gt;=11,80+($D$7-10),60+$D$7))/100</f>
        <v>0.61</v>
      </c>
      <c r="P28" s="116"/>
      <c r="Q28" s="17" t="s">
        <v>252</v>
      </c>
      <c r="R28" s="75">
        <f>(50+3*D8)/100</f>
        <v>1.4</v>
      </c>
      <c r="S28" s="352"/>
    </row>
    <row r="29" spans="2:19" ht="14.25" thickBot="1">
      <c r="B29" s="17" t="s">
        <v>1378</v>
      </c>
      <c r="C29" s="195"/>
      <c r="D29" s="313">
        <v>0</v>
      </c>
      <c r="E29" s="14" t="s">
        <v>256</v>
      </c>
      <c r="F29" s="48">
        <f>D26+SUM(F4:F28)</f>
        <v>147</v>
      </c>
      <c r="G29" s="546">
        <f>INT((G3+G27+G28)*(1+G32))</f>
        <v>31</v>
      </c>
      <c r="H29" s="546">
        <f>INT((H3+H27+H28)*(1+H32))</f>
        <v>150</v>
      </c>
      <c r="I29" s="546">
        <f>INT((I3+I27+I28)*(1+I32))</f>
        <v>31</v>
      </c>
      <c r="J29" s="546">
        <f>INT((J3+J27+J28)*(1+J32))</f>
        <v>883</v>
      </c>
      <c r="K29" s="547">
        <f>($G$29*0.4+$J$29*0.8+$H$29*1.6+K28)*(1+K32)</f>
        <v>1136.8000000000002</v>
      </c>
      <c r="N29" s="276" t="s">
        <v>872</v>
      </c>
      <c r="O29" s="277">
        <f>IF($D$7&gt;=21,12,IF($D$7&gt;=11,8,4))</f>
        <v>4</v>
      </c>
      <c r="Q29" s="51" t="s">
        <v>1313</v>
      </c>
      <c r="R29" s="676">
        <f>INT(S29*R28)</f>
        <v>10825</v>
      </c>
      <c r="S29" s="402">
        <f>$Q$4*(($F$29-D26)+INT(($F$29-D26-$F$25)*$E$32)+INT(($F$29-D26)*($K$52-1)))/100</f>
        <v>7732.2</v>
      </c>
    </row>
    <row r="30" spans="2:18" ht="14.25" thickBot="1">
      <c r="B30" s="1305" t="s">
        <v>981</v>
      </c>
      <c r="C30" s="1306"/>
      <c r="D30" s="1306"/>
      <c r="E30" s="1306"/>
      <c r="F30" s="1306"/>
      <c r="G30" s="1306"/>
      <c r="H30" s="1306"/>
      <c r="I30" s="1306"/>
      <c r="J30" s="1306"/>
      <c r="K30" s="1307"/>
      <c r="N30" s="274" t="s">
        <v>1313</v>
      </c>
      <c r="O30" s="143" t="s">
        <v>1216</v>
      </c>
      <c r="Q30" s="21"/>
      <c r="R30" s="648">
        <f>R29*60</f>
        <v>649500</v>
      </c>
    </row>
    <row r="31" spans="2:11" ht="14.25" thickBot="1">
      <c r="B31" s="1218" t="s">
        <v>762</v>
      </c>
      <c r="C31" s="1219"/>
      <c r="D31" s="1220"/>
      <c r="E31" s="1308" t="s">
        <v>982</v>
      </c>
      <c r="F31" s="1309"/>
      <c r="G31" s="1" t="s">
        <v>986</v>
      </c>
      <c r="H31" s="3" t="s">
        <v>985</v>
      </c>
      <c r="I31" s="3" t="s">
        <v>984</v>
      </c>
      <c r="J31" s="3" t="s">
        <v>983</v>
      </c>
      <c r="K31" s="4" t="s">
        <v>987</v>
      </c>
    </row>
    <row r="32" spans="2:19" ht="14.25" thickBot="1">
      <c r="B32" s="1210">
        <v>0</v>
      </c>
      <c r="C32" s="1211"/>
      <c r="D32" s="1212"/>
      <c r="E32" s="1130">
        <v>0</v>
      </c>
      <c r="F32" s="1131"/>
      <c r="G32" s="542">
        <v>0</v>
      </c>
      <c r="H32" s="543">
        <v>0</v>
      </c>
      <c r="I32" s="543">
        <v>0</v>
      </c>
      <c r="J32" s="543">
        <v>0.09</v>
      </c>
      <c r="K32" s="544">
        <v>0</v>
      </c>
      <c r="N32" s="1158" t="s">
        <v>1335</v>
      </c>
      <c r="O32" s="1159"/>
      <c r="P32" s="1159"/>
      <c r="Q32" s="1376"/>
      <c r="R32" s="135" t="s">
        <v>267</v>
      </c>
      <c r="S32" s="313">
        <v>2</v>
      </c>
    </row>
    <row r="33" spans="2:19" ht="14.25" thickBot="1">
      <c r="B33" s="1221" t="s">
        <v>135</v>
      </c>
      <c r="C33" s="1166"/>
      <c r="D33" s="1177"/>
      <c r="E33" s="1261" t="s">
        <v>877</v>
      </c>
      <c r="F33" s="1262"/>
      <c r="N33" s="1344" t="s">
        <v>1406</v>
      </c>
      <c r="O33" s="1345"/>
      <c r="P33" s="463">
        <v>1.7</v>
      </c>
      <c r="Q33" s="1305" t="s">
        <v>1336</v>
      </c>
      <c r="R33" s="1623"/>
      <c r="S33" s="313">
        <v>30</v>
      </c>
    </row>
    <row r="34" spans="2:19" ht="14.25" thickBot="1">
      <c r="B34" s="1210">
        <v>0</v>
      </c>
      <c r="C34" s="1222"/>
      <c r="D34" s="1212"/>
      <c r="E34" s="1130">
        <v>0</v>
      </c>
      <c r="F34" s="1131"/>
      <c r="I34" s="1297" t="s">
        <v>1417</v>
      </c>
      <c r="J34" s="1298"/>
      <c r="K34" s="1299"/>
      <c r="N34" s="1227" t="s">
        <v>304</v>
      </c>
      <c r="O34" s="76" t="s">
        <v>257</v>
      </c>
      <c r="P34" s="521">
        <f>INT(P36*0.7)</f>
        <v>14673</v>
      </c>
      <c r="Q34" s="1234" t="s">
        <v>725</v>
      </c>
      <c r="R34" s="186" t="s">
        <v>257</v>
      </c>
      <c r="S34" s="155">
        <f>MIN(INT(P34*$E$41),ReadMe!$M$99)</f>
        <v>19808</v>
      </c>
    </row>
    <row r="35" spans="9:19" ht="14.25" customHeight="1" thickBot="1">
      <c r="I35" s="14" t="s">
        <v>1410</v>
      </c>
      <c r="J35" s="15"/>
      <c r="K35" s="534">
        <v>0</v>
      </c>
      <c r="N35" s="1228"/>
      <c r="O35" s="43" t="s">
        <v>258</v>
      </c>
      <c r="P35" s="522">
        <f>INT((P34+P36)/2)</f>
        <v>17817</v>
      </c>
      <c r="Q35" s="1235"/>
      <c r="R35" s="79" t="s">
        <v>258</v>
      </c>
      <c r="S35" s="156">
        <f>MIN(INT(P35*(($E$41+$F$41)/2)),ReadMe!$M$99)</f>
        <v>25389</v>
      </c>
    </row>
    <row r="36" spans="2:19" ht="14.25" customHeight="1" thickBot="1">
      <c r="B36" s="1280" t="s">
        <v>88</v>
      </c>
      <c r="C36" s="1281"/>
      <c r="D36" s="1281"/>
      <c r="E36" s="503" t="s">
        <v>257</v>
      </c>
      <c r="F36" s="19" t="s">
        <v>259</v>
      </c>
      <c r="G36" s="504" t="s">
        <v>1085</v>
      </c>
      <c r="N36" s="1229"/>
      <c r="O36" s="15" t="s">
        <v>259</v>
      </c>
      <c r="P36" s="523">
        <f>INT(J29*7.6/100*($F$29+INT(($F$29-$F$25)*$E$32)+INT($F$29*($K$52-1)))*P33*A11)</f>
        <v>20962</v>
      </c>
      <c r="Q36" s="1236"/>
      <c r="R36" s="86" t="s">
        <v>259</v>
      </c>
      <c r="S36" s="157">
        <f>MIN(INT(P36*$F$41),ReadMe!$M$99)</f>
        <v>31443</v>
      </c>
    </row>
    <row r="37" spans="2:19" ht="14.25" customHeight="1" thickBot="1">
      <c r="B37" s="1213" t="s">
        <v>90</v>
      </c>
      <c r="C37" s="1214"/>
      <c r="D37" s="1215"/>
      <c r="E37" s="35">
        <f>(120+ROUNDUP(S33/2,0))/100</f>
        <v>1.35</v>
      </c>
      <c r="F37" s="507">
        <v>1.5</v>
      </c>
      <c r="G37" s="241">
        <f>0.55+(1-0.55)*D12</f>
        <v>0.64</v>
      </c>
      <c r="I37" s="1256" t="s">
        <v>438</v>
      </c>
      <c r="J37" s="1300"/>
      <c r="K37" s="1301"/>
      <c r="N37" s="1434" t="s">
        <v>323</v>
      </c>
      <c r="O37" s="1435"/>
      <c r="P37" s="1435"/>
      <c r="Q37" s="1621">
        <f>INT(P35*(1-$G$41)+S35*$G$41)</f>
        <v>22663</v>
      </c>
      <c r="R37" s="1621"/>
      <c r="S37" s="1622"/>
    </row>
    <row r="38" spans="2:11" ht="13.5" customHeight="1" thickBot="1">
      <c r="B38" s="1228" t="s">
        <v>86</v>
      </c>
      <c r="C38" s="1284"/>
      <c r="D38" s="516">
        <v>0</v>
      </c>
      <c r="E38" s="506"/>
      <c r="F38" s="505">
        <f>D38/100</f>
        <v>0</v>
      </c>
      <c r="G38" s="511">
        <f>IF(D38=0,0,(5+ROUNDUP(D38/2,0))/100)</f>
        <v>0</v>
      </c>
      <c r="I38" s="1256" t="s">
        <v>440</v>
      </c>
      <c r="J38" s="1257"/>
      <c r="K38" s="1258"/>
    </row>
    <row r="39" spans="1:11" ht="14.25" thickBot="1">
      <c r="A39" s="402" t="b">
        <v>0</v>
      </c>
      <c r="B39" s="1228" t="s">
        <v>87</v>
      </c>
      <c r="C39" s="1284"/>
      <c r="D39" s="512"/>
      <c r="E39" s="506"/>
      <c r="F39" s="505">
        <f>IF(H39="true",0.15,0)</f>
        <v>0</v>
      </c>
      <c r="G39" s="511">
        <f>IF(H39="true",0.1,0)</f>
        <v>0</v>
      </c>
      <c r="H39" s="402" t="str">
        <f>IF(A39=TRUE,"TRUE",IF(D39=1,"TRUE","FLASE"))</f>
        <v>FLASE</v>
      </c>
      <c r="I39" s="771" t="s">
        <v>437</v>
      </c>
      <c r="J39" s="205"/>
      <c r="K39" s="228">
        <v>0</v>
      </c>
    </row>
    <row r="40" spans="2:7" ht="14.25" thickBot="1">
      <c r="B40" s="1285" t="s">
        <v>89</v>
      </c>
      <c r="C40" s="1286"/>
      <c r="D40" s="1287"/>
      <c r="E40" s="513">
        <v>0</v>
      </c>
      <c r="F40" s="514">
        <v>0</v>
      </c>
      <c r="G40" s="515">
        <v>0</v>
      </c>
    </row>
    <row r="41" spans="2:13" ht="14.25" thickBot="1">
      <c r="B41" s="1290" t="s">
        <v>91</v>
      </c>
      <c r="C41" s="1291"/>
      <c r="D41" s="1292"/>
      <c r="E41" s="508">
        <f>E37+E39+E40</f>
        <v>1.35</v>
      </c>
      <c r="F41" s="509">
        <f>F37+MAX(F38,F39)+F40</f>
        <v>1.5</v>
      </c>
      <c r="G41" s="510">
        <f>G37+MAX(G38,G39)+G40</f>
        <v>0.64</v>
      </c>
      <c r="I41" s="1259" t="s">
        <v>128</v>
      </c>
      <c r="J41" s="1260"/>
      <c r="K41" s="791"/>
      <c r="L41" s="402" t="b">
        <v>0</v>
      </c>
      <c r="M41" s="486" t="str">
        <f>IF(L41=TRUE,"TRUE",IF(K41=1,"TRUE","FLASE"))</f>
        <v>FLASE</v>
      </c>
    </row>
    <row r="42" spans="2:11" ht="14.25" thickBot="1">
      <c r="B42" s="1216" t="s">
        <v>331</v>
      </c>
      <c r="C42" s="1199"/>
      <c r="D42" s="1200"/>
      <c r="E42" s="1253">
        <f>(($E$41+$F$41)/2-1)*$G$41+1</f>
        <v>1.272</v>
      </c>
      <c r="F42" s="1254"/>
      <c r="G42" s="1255"/>
      <c r="I42" s="590" t="s">
        <v>1119</v>
      </c>
      <c r="J42" s="788"/>
      <c r="K42" s="789">
        <v>0</v>
      </c>
    </row>
    <row r="43" spans="9:13" ht="14.25" thickBot="1">
      <c r="I43" s="1251" t="s">
        <v>854</v>
      </c>
      <c r="J43" s="1252"/>
      <c r="K43" s="790">
        <f>IF(M41="true",IF(K42&gt;0,10+ROUNDUP(K42/3,0),10)/100,0)</f>
        <v>0</v>
      </c>
      <c r="L43" s="323"/>
      <c r="M43" s="323"/>
    </row>
    <row r="44" ht="14.25" thickBot="1"/>
    <row r="45" spans="2:11" ht="14.25" thickBot="1">
      <c r="B45" s="1282" t="s">
        <v>735</v>
      </c>
      <c r="C45" s="1283"/>
      <c r="D45" s="596">
        <v>125</v>
      </c>
      <c r="E45" s="1249" t="s">
        <v>736</v>
      </c>
      <c r="F45" s="1250"/>
      <c r="G45" s="25">
        <f>IF(D2&gt;D45,0,$D$45-$D$2)</f>
        <v>0</v>
      </c>
      <c r="I45" s="1137" t="s">
        <v>159</v>
      </c>
      <c r="J45" s="1138"/>
      <c r="K45" s="1139"/>
    </row>
    <row r="46" spans="2:13" ht="13.5">
      <c r="B46" s="1242" t="s">
        <v>769</v>
      </c>
      <c r="C46" s="1243"/>
      <c r="D46" s="576">
        <v>12</v>
      </c>
      <c r="E46" s="1242" t="s">
        <v>771</v>
      </c>
      <c r="F46" s="1243"/>
      <c r="G46" s="615">
        <f>IF(G45&gt;0,"-",D46)</f>
        <v>12</v>
      </c>
      <c r="I46" s="416" t="s">
        <v>160</v>
      </c>
      <c r="J46" s="539"/>
      <c r="K46" s="204">
        <v>0</v>
      </c>
      <c r="L46" s="323"/>
      <c r="M46" s="323"/>
    </row>
    <row r="47" spans="2:11" ht="14.25" thickBot="1">
      <c r="B47" s="1293" t="s">
        <v>734</v>
      </c>
      <c r="C47" s="1294"/>
      <c r="D47" s="576">
        <v>0</v>
      </c>
      <c r="E47" s="1242" t="s">
        <v>770</v>
      </c>
      <c r="F47" s="1243"/>
      <c r="G47" s="511">
        <f>MAX((MIN(100+SQRT($K$29)-SQRT($D$46),100)-2*G45)/100,0)</f>
        <v>1</v>
      </c>
      <c r="I47" s="417" t="s">
        <v>161</v>
      </c>
      <c r="J47" s="540"/>
      <c r="K47" s="418">
        <f>IF(K46&gt;0,(K46+10)/100,0)</f>
        <v>0</v>
      </c>
    </row>
    <row r="48" spans="2:7" ht="14.25" thickBot="1">
      <c r="B48" s="1278" t="s">
        <v>979</v>
      </c>
      <c r="C48" s="1279"/>
      <c r="D48" s="595">
        <v>0.25</v>
      </c>
      <c r="E48" s="1242" t="s">
        <v>980</v>
      </c>
      <c r="F48" s="1243"/>
      <c r="G48" s="511">
        <f>1-(D48-ROUNDUP(D48*(K47+B32+U10),2))</f>
        <v>0.79</v>
      </c>
    </row>
    <row r="49" spans="4:13" ht="14.25" thickBot="1">
      <c r="D49" s="402">
        <f>$D$47*(1-($K$47+$B$32))</f>
        <v>0</v>
      </c>
      <c r="E49" s="1197" t="s">
        <v>1286</v>
      </c>
      <c r="F49" s="1198"/>
      <c r="G49" s="28">
        <f>1-(D48-ROUNDUP(D48*(K47+B32+U10+U10),2))</f>
        <v>0.8300000000000001</v>
      </c>
      <c r="I49" s="1246" t="s">
        <v>79</v>
      </c>
      <c r="J49" s="1247"/>
      <c r="K49" s="1248"/>
      <c r="L49" s="323"/>
      <c r="M49" s="162"/>
    </row>
    <row r="50" spans="2:13" ht="13.5">
      <c r="B50" s="1153" t="s">
        <v>1084</v>
      </c>
      <c r="C50" s="1133"/>
      <c r="D50" s="1129"/>
      <c r="I50" s="1127" t="s">
        <v>988</v>
      </c>
      <c r="J50" s="1217"/>
      <c r="K50" s="468"/>
      <c r="L50" s="486" t="b">
        <v>0</v>
      </c>
      <c r="M50" s="486" t="str">
        <f>IF(L50=TRUE,"TRUE",IF(K50=1,"TRUE","FLASE"))</f>
        <v>FLASE</v>
      </c>
    </row>
    <row r="51" spans="2:13" ht="14.25" thickBot="1">
      <c r="B51" s="1187" t="s">
        <v>877</v>
      </c>
      <c r="C51" s="1188"/>
      <c r="D51" s="1189"/>
      <c r="I51" s="1244" t="s">
        <v>989</v>
      </c>
      <c r="J51" s="1245"/>
      <c r="K51" s="469"/>
      <c r="L51" s="486" t="b">
        <v>0</v>
      </c>
      <c r="M51" s="486" t="str">
        <f>IF(L51=TRUE,"TRUE",IF(K51=1,"TRUE","FLASE"))</f>
        <v>FLASE</v>
      </c>
    </row>
    <row r="52" spans="2:13" ht="13.5" customHeight="1" thickBot="1">
      <c r="B52" s="1194">
        <v>0</v>
      </c>
      <c r="C52" s="1195"/>
      <c r="D52" s="1196"/>
      <c r="I52" s="1240" t="s">
        <v>854</v>
      </c>
      <c r="J52" s="1241"/>
      <c r="K52" s="206">
        <f>IF(M50="TRUE",1.04,IF(M51="TRUE",1.02,1))</f>
        <v>1</v>
      </c>
      <c r="L52" s="333"/>
      <c r="M52" s="333"/>
    </row>
    <row r="53" ht="14.25" thickBot="1"/>
    <row r="54" spans="2:12" ht="14.25" thickBot="1">
      <c r="B54" s="1201" t="s">
        <v>265</v>
      </c>
      <c r="C54" s="1202"/>
      <c r="D54" s="1202"/>
      <c r="E54" s="1202"/>
      <c r="F54" s="1202"/>
      <c r="G54" s="1202"/>
      <c r="H54" s="1202"/>
      <c r="I54" s="1202"/>
      <c r="J54" s="1202"/>
      <c r="K54" s="1202"/>
      <c r="L54" s="1203"/>
    </row>
    <row r="55" spans="2:12" ht="13.5">
      <c r="B55" s="1624" t="s">
        <v>677</v>
      </c>
      <c r="C55" s="1625"/>
      <c r="D55" s="1625"/>
      <c r="E55" s="1625"/>
      <c r="F55" s="1625"/>
      <c r="G55" s="1625"/>
      <c r="H55" s="1625"/>
      <c r="I55" s="1625"/>
      <c r="J55" s="1625"/>
      <c r="K55" s="1625"/>
      <c r="L55" s="1626"/>
    </row>
    <row r="56" spans="2:12" ht="13.5">
      <c r="B56" s="1618" t="s">
        <v>637</v>
      </c>
      <c r="C56" s="1619"/>
      <c r="D56" s="1619"/>
      <c r="E56" s="1619"/>
      <c r="F56" s="1619"/>
      <c r="G56" s="1619"/>
      <c r="H56" s="1619"/>
      <c r="I56" s="1619"/>
      <c r="J56" s="1619"/>
      <c r="K56" s="1619"/>
      <c r="L56" s="1620"/>
    </row>
    <row r="57" spans="2:12" ht="13.5">
      <c r="B57" s="1618" t="s">
        <v>639</v>
      </c>
      <c r="C57" s="1619"/>
      <c r="D57" s="1619"/>
      <c r="E57" s="1619"/>
      <c r="F57" s="1619"/>
      <c r="G57" s="1619"/>
      <c r="H57" s="1619"/>
      <c r="I57" s="1619"/>
      <c r="J57" s="1619"/>
      <c r="K57" s="1619"/>
      <c r="L57" s="1620"/>
    </row>
    <row r="58" spans="2:12" ht="13.5">
      <c r="B58" s="1553" t="s">
        <v>708</v>
      </c>
      <c r="C58" s="1554"/>
      <c r="D58" s="1554"/>
      <c r="E58" s="1554"/>
      <c r="F58" s="1554"/>
      <c r="G58" s="1554"/>
      <c r="H58" s="1554"/>
      <c r="I58" s="1554"/>
      <c r="J58" s="1554"/>
      <c r="K58" s="1554"/>
      <c r="L58" s="1555"/>
    </row>
    <row r="59" spans="2:12" ht="13.5">
      <c r="B59" s="1273" t="s">
        <v>709</v>
      </c>
      <c r="C59" s="1275"/>
      <c r="D59" s="1275"/>
      <c r="E59" s="1275"/>
      <c r="F59" s="1275"/>
      <c r="G59" s="1275"/>
      <c r="H59" s="1275"/>
      <c r="I59" s="1275"/>
      <c r="J59" s="1275"/>
      <c r="K59" s="1275"/>
      <c r="L59" s="1277"/>
    </row>
    <row r="60" spans="2:12" ht="13.5">
      <c r="B60" s="1273" t="s">
        <v>710</v>
      </c>
      <c r="C60" s="1275"/>
      <c r="D60" s="1275"/>
      <c r="E60" s="1275"/>
      <c r="F60" s="1275"/>
      <c r="G60" s="1275"/>
      <c r="H60" s="1275"/>
      <c r="I60" s="1275"/>
      <c r="J60" s="1275"/>
      <c r="K60" s="1275"/>
      <c r="L60" s="1277"/>
    </row>
    <row r="61" spans="2:12" ht="13.5">
      <c r="B61" s="1273" t="s">
        <v>413</v>
      </c>
      <c r="C61" s="1275"/>
      <c r="D61" s="1275"/>
      <c r="E61" s="1275"/>
      <c r="F61" s="1275"/>
      <c r="G61" s="1275"/>
      <c r="H61" s="1275"/>
      <c r="I61" s="1275"/>
      <c r="J61" s="1275"/>
      <c r="K61" s="1275"/>
      <c r="L61" s="1277"/>
    </row>
    <row r="62" spans="2:12" ht="14.25" thickBot="1">
      <c r="B62" s="1263" t="s">
        <v>1152</v>
      </c>
      <c r="C62" s="1265"/>
      <c r="D62" s="1265"/>
      <c r="E62" s="1265"/>
      <c r="F62" s="1265"/>
      <c r="G62" s="1265"/>
      <c r="H62" s="1265"/>
      <c r="I62" s="1265"/>
      <c r="J62" s="1265"/>
      <c r="K62" s="1265"/>
      <c r="L62" s="1267"/>
    </row>
  </sheetData>
  <sheetProtection/>
  <protectedRanges>
    <protectedRange sqref="D45:D46 D48" name="範囲1_1_1"/>
  </protectedRanges>
  <mergeCells count="83">
    <mergeCell ref="B2:C2"/>
    <mergeCell ref="B27:C27"/>
    <mergeCell ref="B39:C39"/>
    <mergeCell ref="B36:D36"/>
    <mergeCell ref="B33:D33"/>
    <mergeCell ref="B30:K30"/>
    <mergeCell ref="B4:D4"/>
    <mergeCell ref="B32:D32"/>
    <mergeCell ref="B8:C8"/>
    <mergeCell ref="E32:F32"/>
    <mergeCell ref="E33:F33"/>
    <mergeCell ref="F1:P1"/>
    <mergeCell ref="N10:S10"/>
    <mergeCell ref="R2:T2"/>
    <mergeCell ref="T12:T14"/>
    <mergeCell ref="R6:T6"/>
    <mergeCell ref="Q12:Q14"/>
    <mergeCell ref="N2:P2"/>
    <mergeCell ref="N12:N14"/>
    <mergeCell ref="N6:P6"/>
    <mergeCell ref="N24:P24"/>
    <mergeCell ref="Q24:S24"/>
    <mergeCell ref="R18:U18"/>
    <mergeCell ref="U12:U14"/>
    <mergeCell ref="N15:N17"/>
    <mergeCell ref="Q15:S17"/>
    <mergeCell ref="N18:Q18"/>
    <mergeCell ref="Q21:Q23"/>
    <mergeCell ref="N20:Q20"/>
    <mergeCell ref="N21:N23"/>
    <mergeCell ref="Q27:R27"/>
    <mergeCell ref="N27:O27"/>
    <mergeCell ref="Q25:S25"/>
    <mergeCell ref="N25:P25"/>
    <mergeCell ref="B59:L59"/>
    <mergeCell ref="I45:K45"/>
    <mergeCell ref="I37:K37"/>
    <mergeCell ref="B51:D51"/>
    <mergeCell ref="E49:F49"/>
    <mergeCell ref="B37:D37"/>
    <mergeCell ref="B38:C38"/>
    <mergeCell ref="E45:F45"/>
    <mergeCell ref="B45:C45"/>
    <mergeCell ref="B57:L57"/>
    <mergeCell ref="B62:L62"/>
    <mergeCell ref="B61:L61"/>
    <mergeCell ref="B55:L55"/>
    <mergeCell ref="B41:D41"/>
    <mergeCell ref="B42:D42"/>
    <mergeCell ref="B47:C47"/>
    <mergeCell ref="E47:F47"/>
    <mergeCell ref="B54:L54"/>
    <mergeCell ref="B60:L60"/>
    <mergeCell ref="B58:L58"/>
    <mergeCell ref="E31:F31"/>
    <mergeCell ref="I34:K34"/>
    <mergeCell ref="Q37:S37"/>
    <mergeCell ref="Q33:R33"/>
    <mergeCell ref="N32:Q32"/>
    <mergeCell ref="N34:N36"/>
    <mergeCell ref="Q34:Q36"/>
    <mergeCell ref="N33:O33"/>
    <mergeCell ref="N37:P37"/>
    <mergeCell ref="E34:F34"/>
    <mergeCell ref="I43:J43"/>
    <mergeCell ref="B46:C46"/>
    <mergeCell ref="E46:F46"/>
    <mergeCell ref="I52:J52"/>
    <mergeCell ref="I51:J51"/>
    <mergeCell ref="I49:K49"/>
    <mergeCell ref="I50:J50"/>
    <mergeCell ref="B48:C48"/>
    <mergeCell ref="E48:F48"/>
    <mergeCell ref="V2:W2"/>
    <mergeCell ref="B52:D52"/>
    <mergeCell ref="E42:G42"/>
    <mergeCell ref="B56:L56"/>
    <mergeCell ref="I38:K38"/>
    <mergeCell ref="B40:D40"/>
    <mergeCell ref="B31:D31"/>
    <mergeCell ref="I41:J41"/>
    <mergeCell ref="B34:D34"/>
    <mergeCell ref="B50:D50"/>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8.xml><?xml version="1.0" encoding="utf-8"?>
<worksheet xmlns="http://schemas.openxmlformats.org/spreadsheetml/2006/main" xmlns:r="http://schemas.openxmlformats.org/officeDocument/2006/relationships">
  <dimension ref="A1:Y90"/>
  <sheetViews>
    <sheetView workbookViewId="0" topLeftCell="A1">
      <selection activeCell="C20" sqref="C20"/>
    </sheetView>
  </sheetViews>
  <sheetFormatPr defaultColWidth="9.00390625" defaultRowHeight="13.5"/>
  <cols>
    <col min="1" max="1" width="2.625" style="0" customWidth="1"/>
    <col min="2" max="11" width="5.625" style="0" customWidth="1"/>
    <col min="12" max="13" width="2.625" style="0" customWidth="1"/>
    <col min="19" max="19" width="9.50390625" style="0" bestFit="1" customWidth="1"/>
  </cols>
  <sheetData>
    <row r="1" spans="6:16" ht="24.75" thickBot="1">
      <c r="F1" s="1223" t="s">
        <v>1164</v>
      </c>
      <c r="G1" s="1223"/>
      <c r="H1" s="1223"/>
      <c r="I1" s="1223"/>
      <c r="J1" s="1223"/>
      <c r="K1" s="1223"/>
      <c r="L1" s="1223"/>
      <c r="M1" s="1223"/>
      <c r="N1" s="1223"/>
      <c r="O1" s="1223"/>
      <c r="P1" s="1223"/>
    </row>
    <row r="2" spans="2:25" ht="14.25" thickBot="1">
      <c r="B2" s="1153" t="s">
        <v>238</v>
      </c>
      <c r="C2" s="1154"/>
      <c r="D2" s="2">
        <v>150</v>
      </c>
      <c r="E2" s="1"/>
      <c r="F2" s="3" t="s">
        <v>325</v>
      </c>
      <c r="G2" s="3" t="s">
        <v>849</v>
      </c>
      <c r="H2" s="3" t="s">
        <v>850</v>
      </c>
      <c r="I2" s="3" t="s">
        <v>852</v>
      </c>
      <c r="J2" s="3" t="s">
        <v>851</v>
      </c>
      <c r="K2" s="25" t="s">
        <v>749</v>
      </c>
      <c r="N2" s="1224" t="s">
        <v>301</v>
      </c>
      <c r="O2" s="1225"/>
      <c r="P2" s="1226"/>
      <c r="R2" s="1224" t="s">
        <v>737</v>
      </c>
      <c r="S2" s="1225"/>
      <c r="T2" s="1226"/>
      <c r="V2" s="1616" t="s">
        <v>634</v>
      </c>
      <c r="W2" s="1617"/>
      <c r="X2" s="1604" t="s">
        <v>1255</v>
      </c>
      <c r="Y2" s="1605"/>
    </row>
    <row r="3" spans="2:25" ht="14.25" thickBot="1">
      <c r="B3" s="5" t="s">
        <v>241</v>
      </c>
      <c r="C3" s="536"/>
      <c r="D3" s="6">
        <f>((D2-1)*5+IF(D2&gt;=120,35,IF(D2&gt;=70,30,25)))-(G3+H3+J3+I3)</f>
        <v>0</v>
      </c>
      <c r="E3" s="7" t="s">
        <v>242</v>
      </c>
      <c r="F3" s="8"/>
      <c r="G3" s="8">
        <v>4</v>
      </c>
      <c r="H3" s="8">
        <v>69</v>
      </c>
      <c r="I3" s="8">
        <v>4</v>
      </c>
      <c r="J3" s="8">
        <v>703</v>
      </c>
      <c r="K3" s="9"/>
      <c r="N3" s="10" t="s">
        <v>270</v>
      </c>
      <c r="O3" s="11" t="s">
        <v>744</v>
      </c>
      <c r="P3" s="12" t="s">
        <v>272</v>
      </c>
      <c r="R3" s="10" t="s">
        <v>1288</v>
      </c>
      <c r="S3" s="11" t="s">
        <v>1289</v>
      </c>
      <c r="T3" s="12" t="s">
        <v>1290</v>
      </c>
      <c r="V3" s="226"/>
      <c r="W3" s="1052">
        <f>0.7*(1+U7)*(1+K35)*(1+B34)*(1+E34)*(1+B52)</f>
        <v>1.19</v>
      </c>
      <c r="X3" s="17" t="s">
        <v>252</v>
      </c>
      <c r="Y3" s="75">
        <f>(50+3*D15)/100</f>
        <v>0.53</v>
      </c>
    </row>
    <row r="4" spans="2:25" ht="14.25" thickBot="1">
      <c r="B4" s="1342" t="s">
        <v>490</v>
      </c>
      <c r="C4" s="1420"/>
      <c r="D4" s="1420"/>
      <c r="E4" s="7" t="s">
        <v>336</v>
      </c>
      <c r="F4" s="8">
        <v>120</v>
      </c>
      <c r="G4" s="8"/>
      <c r="H4" s="8"/>
      <c r="I4" s="8"/>
      <c r="J4" s="8">
        <v>14</v>
      </c>
      <c r="K4" s="9"/>
      <c r="N4" s="14">
        <f>P4*0.7</f>
        <v>9016.207199999999</v>
      </c>
      <c r="O4" s="15">
        <f>(P4+N4)/2</f>
        <v>10948.2516</v>
      </c>
      <c r="P4" s="16">
        <f>$Q$4*($F$29+INT(($F$29*($E$32+$K$52+$K$43-1))))/100</f>
        <v>12880.296</v>
      </c>
      <c r="Q4" s="402">
        <f>1.3*(4*$J$29+$H$29+$G$29)</f>
        <v>4878.900000000001</v>
      </c>
      <c r="R4" s="14">
        <f>N4*$G$48*(1-$G$45/100)</f>
        <v>7212.965759999999</v>
      </c>
      <c r="S4" s="15">
        <f>O4*$G$48*(1-$G$45/100)</f>
        <v>8758.60128</v>
      </c>
      <c r="T4" s="16">
        <f>P4*$G$48*(1-$G$45/100)</f>
        <v>10304.2368</v>
      </c>
      <c r="V4" s="460" t="s">
        <v>635</v>
      </c>
      <c r="W4" s="854">
        <f>0.7*(1+K35)*(1+B34)*(1+E34)*(1+B52)</f>
        <v>0.7</v>
      </c>
      <c r="X4" s="51" t="s">
        <v>1313</v>
      </c>
      <c r="Y4" s="676">
        <f>INT(P4*Y3)</f>
        <v>6826</v>
      </c>
    </row>
    <row r="5" spans="2:25" ht="14.25" thickBot="1">
      <c r="B5" s="22"/>
      <c r="C5" s="21"/>
      <c r="D5" s="21"/>
      <c r="E5" s="216" t="s">
        <v>37</v>
      </c>
      <c r="F5" s="8">
        <v>66</v>
      </c>
      <c r="G5" s="8"/>
      <c r="H5" s="8"/>
      <c r="I5" s="8"/>
      <c r="J5" s="8">
        <v>5</v>
      </c>
      <c r="K5" s="9"/>
      <c r="N5" s="117"/>
      <c r="O5" s="117"/>
      <c r="P5" s="117"/>
      <c r="Q5" s="402"/>
      <c r="R5" s="117"/>
      <c r="S5" s="117"/>
      <c r="T5" s="117"/>
      <c r="X5" s="21"/>
      <c r="Y5" s="648">
        <f>Y4*60</f>
        <v>409560</v>
      </c>
    </row>
    <row r="6" spans="2:21" ht="14.25" thickBot="1">
      <c r="B6" s="151" t="s">
        <v>395</v>
      </c>
      <c r="C6" s="3"/>
      <c r="D6" s="137">
        <v>30</v>
      </c>
      <c r="E6" s="42" t="s">
        <v>246</v>
      </c>
      <c r="F6" s="8"/>
      <c r="G6" s="8">
        <v>10</v>
      </c>
      <c r="H6" s="8">
        <v>20</v>
      </c>
      <c r="I6" s="8">
        <v>10</v>
      </c>
      <c r="J6" s="8">
        <v>10</v>
      </c>
      <c r="K6" s="9">
        <v>10</v>
      </c>
      <c r="N6" s="1405" t="s">
        <v>400</v>
      </c>
      <c r="O6" s="1376"/>
      <c r="P6" s="1376"/>
      <c r="Q6" s="1376"/>
      <c r="R6" s="1376"/>
      <c r="S6" s="1376"/>
      <c r="T6" s="1376"/>
      <c r="U6" s="1406"/>
    </row>
    <row r="7" spans="2:21" ht="13.5">
      <c r="B7" s="500" t="s">
        <v>396</v>
      </c>
      <c r="C7" s="43"/>
      <c r="D7" s="9">
        <v>30</v>
      </c>
      <c r="E7" s="42" t="s">
        <v>247</v>
      </c>
      <c r="F7" s="8">
        <v>5</v>
      </c>
      <c r="G7" s="8"/>
      <c r="H7" s="8"/>
      <c r="I7" s="8"/>
      <c r="J7" s="8"/>
      <c r="K7" s="9"/>
      <c r="N7" s="222" t="s">
        <v>238</v>
      </c>
      <c r="O7" s="3">
        <f>D10</f>
        <v>30</v>
      </c>
      <c r="P7" s="1214" t="s">
        <v>252</v>
      </c>
      <c r="Q7" s="1214"/>
      <c r="R7" s="583">
        <f>(1400+20*O7)/100</f>
        <v>20</v>
      </c>
      <c r="S7" s="1652" t="s">
        <v>877</v>
      </c>
      <c r="T7" s="1652"/>
      <c r="U7" s="683">
        <f>IF($A$14="true",(40+O7)/100,0)</f>
        <v>0.7</v>
      </c>
    </row>
    <row r="8" spans="2:21" ht="14.25" thickBot="1">
      <c r="B8" s="7" t="s">
        <v>397</v>
      </c>
      <c r="C8" s="43"/>
      <c r="D8" s="9">
        <v>10</v>
      </c>
      <c r="E8" s="42" t="s">
        <v>248</v>
      </c>
      <c r="F8" s="8">
        <v>2</v>
      </c>
      <c r="G8" s="8"/>
      <c r="H8" s="8">
        <v>2</v>
      </c>
      <c r="I8" s="8"/>
      <c r="J8" s="8"/>
      <c r="K8" s="9">
        <v>7</v>
      </c>
      <c r="N8" s="1022" t="s">
        <v>872</v>
      </c>
      <c r="O8" s="670">
        <f>10+3*INT(O7/3)</f>
        <v>40</v>
      </c>
      <c r="P8" s="1651" t="s">
        <v>765</v>
      </c>
      <c r="Q8" s="1651"/>
      <c r="R8" s="670">
        <f>150-2*O7</f>
        <v>90</v>
      </c>
      <c r="S8" s="1515" t="s">
        <v>543</v>
      </c>
      <c r="T8" s="1515"/>
      <c r="U8" s="669">
        <f>IF($A$14="true",1+U7*(O8/R8),1)</f>
        <v>1.3111111111111111</v>
      </c>
    </row>
    <row r="9" spans="2:21" ht="14.25" thickBot="1">
      <c r="B9" s="626" t="s">
        <v>398</v>
      </c>
      <c r="C9" s="15"/>
      <c r="D9" s="228">
        <v>30</v>
      </c>
      <c r="E9" s="42" t="s">
        <v>249</v>
      </c>
      <c r="F9" s="8"/>
      <c r="G9" s="8">
        <v>7</v>
      </c>
      <c r="H9" s="8">
        <v>7</v>
      </c>
      <c r="I9" s="8">
        <v>7</v>
      </c>
      <c r="J9" s="8">
        <v>7</v>
      </c>
      <c r="K9" s="9"/>
      <c r="N9" s="1485" t="s">
        <v>304</v>
      </c>
      <c r="O9" s="88" t="s">
        <v>257</v>
      </c>
      <c r="P9" s="628">
        <f>MIN(INT(($R$4*R7)*(1+$B$34+$E$34+$B$52+$K$35)),ReadMe!$M$99)</f>
        <v>144259</v>
      </c>
      <c r="Q9" s="1234" t="s">
        <v>725</v>
      </c>
      <c r="R9" s="186" t="s">
        <v>257</v>
      </c>
      <c r="S9" s="155">
        <f>MIN(INT(P9*$E$41),ReadMe!$M$99)</f>
        <v>201962</v>
      </c>
      <c r="T9" s="1564" t="s">
        <v>323</v>
      </c>
      <c r="U9" s="1556">
        <f>INT(P10*(1-$G$41)+S10*$G$41)</f>
        <v>198818</v>
      </c>
    </row>
    <row r="10" spans="2:21" ht="13.5">
      <c r="B10" s="265" t="s">
        <v>1110</v>
      </c>
      <c r="C10" s="1017"/>
      <c r="D10" s="1642">
        <v>30</v>
      </c>
      <c r="E10" s="42" t="s">
        <v>250</v>
      </c>
      <c r="F10" s="8"/>
      <c r="G10" s="8"/>
      <c r="H10" s="8">
        <v>10</v>
      </c>
      <c r="I10" s="8"/>
      <c r="J10" s="8"/>
      <c r="K10" s="9"/>
      <c r="N10" s="1228"/>
      <c r="O10" s="43" t="s">
        <v>258</v>
      </c>
      <c r="P10" s="522">
        <f>INT((P9+P11)/2)</f>
        <v>175171</v>
      </c>
      <c r="Q10" s="1235"/>
      <c r="R10" s="79" t="s">
        <v>258</v>
      </c>
      <c r="S10" s="156">
        <f>MIN(INT(P10*(($E$41+$F$41)/2)),ReadMe!$M$99)</f>
        <v>253997</v>
      </c>
      <c r="T10" s="1565"/>
      <c r="U10" s="1557"/>
    </row>
    <row r="11" spans="2:21" ht="14.25" thickBot="1">
      <c r="B11" s="1014" t="s">
        <v>819</v>
      </c>
      <c r="C11" s="1013"/>
      <c r="D11" s="1643"/>
      <c r="E11" s="42" t="s">
        <v>698</v>
      </c>
      <c r="F11" s="8"/>
      <c r="G11" s="8"/>
      <c r="H11" s="8"/>
      <c r="I11" s="8"/>
      <c r="J11" s="8"/>
      <c r="K11" s="9"/>
      <c r="N11" s="1187"/>
      <c r="O11" s="68" t="s">
        <v>259</v>
      </c>
      <c r="P11" s="680">
        <f>MIN(INT(($T$4*R7)*(1+$B$34+$E$34+$B$52+$K$35)),ReadMe!$M$99)</f>
        <v>206084</v>
      </c>
      <c r="Q11" s="1236"/>
      <c r="R11" s="86" t="s">
        <v>259</v>
      </c>
      <c r="S11" s="157">
        <f>MIN(INT(P11*$F$41),ReadMe!$M$99)</f>
        <v>309126</v>
      </c>
      <c r="T11" s="1566"/>
      <c r="U11" s="1558"/>
    </row>
    <row r="12" spans="1:18" ht="13.5">
      <c r="A12" s="402"/>
      <c r="B12" s="1011" t="s">
        <v>991</v>
      </c>
      <c r="C12" s="1012"/>
      <c r="D12" s="1015"/>
      <c r="E12" s="42" t="s">
        <v>587</v>
      </c>
      <c r="F12" s="8"/>
      <c r="G12" s="8"/>
      <c r="H12" s="8">
        <v>1</v>
      </c>
      <c r="I12" s="8"/>
      <c r="J12" s="8">
        <v>20</v>
      </c>
      <c r="K12" s="9"/>
      <c r="N12" s="1019" t="s">
        <v>399</v>
      </c>
      <c r="O12" s="475" t="s">
        <v>257</v>
      </c>
      <c r="P12" s="527">
        <f>INT(P9+(P9*$W$3))</f>
        <v>315927</v>
      </c>
      <c r="Q12" s="402">
        <f>O8/R8</f>
        <v>0.4444444444444444</v>
      </c>
      <c r="R12" s="402">
        <f>(R8-O8)/R8</f>
        <v>0.5555555555555556</v>
      </c>
    </row>
    <row r="13" spans="1:16" ht="14.25" customHeight="1">
      <c r="A13" s="402" t="b">
        <v>1</v>
      </c>
      <c r="B13" s="557" t="s">
        <v>992</v>
      </c>
      <c r="C13" s="199"/>
      <c r="D13" s="1016"/>
      <c r="E13" s="42" t="s">
        <v>697</v>
      </c>
      <c r="F13" s="8"/>
      <c r="G13" s="8"/>
      <c r="H13" s="8">
        <v>13</v>
      </c>
      <c r="I13" s="8"/>
      <c r="J13" s="8">
        <v>5</v>
      </c>
      <c r="K13" s="9"/>
      <c r="N13" s="1020" t="s">
        <v>256</v>
      </c>
      <c r="O13" s="476" t="s">
        <v>335</v>
      </c>
      <c r="P13" s="671">
        <f>INT(U9+(U9*$W$3))</f>
        <v>435411</v>
      </c>
    </row>
    <row r="14" spans="1:16" ht="14.25" thickBot="1">
      <c r="A14" s="402" t="str">
        <f>IF(A13=TRUE,"TRUE",IF(D14=1,"TRUE","FLASE"))</f>
        <v>TRUE</v>
      </c>
      <c r="B14" s="226" t="s">
        <v>820</v>
      </c>
      <c r="C14" s="554"/>
      <c r="D14" s="501"/>
      <c r="E14" s="42" t="s">
        <v>260</v>
      </c>
      <c r="F14" s="8"/>
      <c r="G14" s="8"/>
      <c r="H14" s="8">
        <v>15</v>
      </c>
      <c r="I14" s="8"/>
      <c r="J14" s="8">
        <v>3</v>
      </c>
      <c r="K14" s="9">
        <v>1</v>
      </c>
      <c r="N14" s="1021"/>
      <c r="O14" s="14" t="s">
        <v>259</v>
      </c>
      <c r="P14" s="672">
        <f>INT(S11+(S11*$W$3))</f>
        <v>676985</v>
      </c>
    </row>
    <row r="15" spans="1:11" ht="14.25" thickBot="1">
      <c r="A15" s="402" t="b">
        <v>1</v>
      </c>
      <c r="B15" s="1432" t="s">
        <v>1255</v>
      </c>
      <c r="C15" s="1433"/>
      <c r="D15" s="204">
        <v>1</v>
      </c>
      <c r="E15" s="42" t="s">
        <v>261</v>
      </c>
      <c r="F15" s="8">
        <v>15</v>
      </c>
      <c r="G15" s="8"/>
      <c r="H15" s="8"/>
      <c r="I15" s="8"/>
      <c r="J15" s="8"/>
      <c r="K15" s="9"/>
    </row>
    <row r="16" spans="1:23" ht="14.25" thickBot="1">
      <c r="A16" s="402" t="str">
        <f>IF(A15=TRUE,"TRUE",IF(D16=1,"TRUE","FLASE"))</f>
        <v>TRUE</v>
      </c>
      <c r="B16" s="5" t="s">
        <v>1256</v>
      </c>
      <c r="C16" s="68"/>
      <c r="D16" s="592"/>
      <c r="E16" s="42" t="s">
        <v>262</v>
      </c>
      <c r="F16" s="8">
        <v>4</v>
      </c>
      <c r="G16" s="8"/>
      <c r="H16" s="8"/>
      <c r="I16" s="8"/>
      <c r="J16" s="8">
        <v>8</v>
      </c>
      <c r="K16" s="9"/>
      <c r="N16" s="1158" t="s">
        <v>401</v>
      </c>
      <c r="O16" s="1159"/>
      <c r="P16" s="1159"/>
      <c r="Q16" s="1159"/>
      <c r="R16" s="1159"/>
      <c r="S16" s="1159"/>
      <c r="T16" s="1045" t="s">
        <v>295</v>
      </c>
      <c r="U16" s="283">
        <f>(5+ROUNDUP(O17/2,0))/100</f>
        <v>0.2</v>
      </c>
      <c r="V16" s="776"/>
      <c r="W16" s="776"/>
    </row>
    <row r="17" spans="2:23" ht="14.25" thickBot="1">
      <c r="B17" s="218"/>
      <c r="C17" s="397"/>
      <c r="D17" s="219"/>
      <c r="E17" s="42" t="s">
        <v>5</v>
      </c>
      <c r="F17" s="8"/>
      <c r="G17" s="8">
        <v>3</v>
      </c>
      <c r="H17" s="8">
        <v>3</v>
      </c>
      <c r="I17" s="8">
        <v>3</v>
      </c>
      <c r="J17" s="8">
        <v>3</v>
      </c>
      <c r="K17" s="9"/>
      <c r="N17" s="263" t="s">
        <v>447</v>
      </c>
      <c r="O17" s="174">
        <f>D6</f>
        <v>30</v>
      </c>
      <c r="P17" s="1332" t="s">
        <v>252</v>
      </c>
      <c r="Q17" s="1333"/>
      <c r="R17" s="264">
        <f>(75+O17)/100</f>
        <v>1.05</v>
      </c>
      <c r="S17" s="1648" t="s">
        <v>415</v>
      </c>
      <c r="T17" s="1650"/>
      <c r="U17" s="148">
        <v>92</v>
      </c>
      <c r="V17" s="776"/>
      <c r="W17" s="776"/>
    </row>
    <row r="18" spans="2:23" ht="13.5">
      <c r="B18" s="22"/>
      <c r="C18" s="21"/>
      <c r="D18" s="138"/>
      <c r="E18" s="42" t="s">
        <v>5</v>
      </c>
      <c r="F18" s="8">
        <v>1</v>
      </c>
      <c r="G18" s="8">
        <v>1</v>
      </c>
      <c r="H18" s="8">
        <v>1</v>
      </c>
      <c r="I18" s="8">
        <v>1</v>
      </c>
      <c r="J18" s="8">
        <v>1</v>
      </c>
      <c r="K18" s="9"/>
      <c r="N18" s="1227" t="s">
        <v>304</v>
      </c>
      <c r="O18" s="76" t="s">
        <v>257</v>
      </c>
      <c r="P18" s="196">
        <f>MIN(INT(($N$4*$G$49*R17)*(1+$U$7+$B$34+$E$34+$B$52+$K$35)),ReadMe!$M$99)</f>
        <v>13679</v>
      </c>
      <c r="Q18" s="1234" t="s">
        <v>725</v>
      </c>
      <c r="R18" s="87" t="s">
        <v>257</v>
      </c>
      <c r="S18" s="155">
        <f>MIN(INT(P18*$E$41),ReadMe!$M$99)</f>
        <v>19150</v>
      </c>
      <c r="T18" s="1564" t="s">
        <v>323</v>
      </c>
      <c r="U18" s="1556">
        <f>INT(P19*(1-$G$41)+S19*$G$41)</f>
        <v>18852</v>
      </c>
      <c r="V18" s="776"/>
      <c r="W18" s="776"/>
    </row>
    <row r="19" spans="2:23" ht="13.5">
      <c r="B19" s="22"/>
      <c r="C19" s="21"/>
      <c r="D19" s="138"/>
      <c r="E19" s="42" t="s">
        <v>5</v>
      </c>
      <c r="F19" s="8">
        <v>1</v>
      </c>
      <c r="G19" s="8">
        <v>1</v>
      </c>
      <c r="H19" s="8">
        <v>1</v>
      </c>
      <c r="I19" s="8">
        <v>1</v>
      </c>
      <c r="J19" s="8">
        <v>1</v>
      </c>
      <c r="K19" s="9"/>
      <c r="N19" s="1228"/>
      <c r="O19" s="43" t="s">
        <v>258</v>
      </c>
      <c r="P19" s="197">
        <f>INT((P18+P20)/2)</f>
        <v>16610</v>
      </c>
      <c r="Q19" s="1235"/>
      <c r="R19" s="79" t="s">
        <v>258</v>
      </c>
      <c r="S19" s="156">
        <f>MIN(INT(P19*(($E$41+$F$41)/2)),ReadMe!$M$99)</f>
        <v>24084</v>
      </c>
      <c r="T19" s="1565"/>
      <c r="U19" s="1557"/>
      <c r="V19" s="776"/>
      <c r="W19" s="776"/>
    </row>
    <row r="20" spans="2:23" ht="14.25" thickBot="1">
      <c r="B20" s="22"/>
      <c r="C20" s="21"/>
      <c r="D20" s="138"/>
      <c r="E20" s="42" t="s">
        <v>5</v>
      </c>
      <c r="F20" s="8"/>
      <c r="G20" s="8"/>
      <c r="H20" s="8"/>
      <c r="I20" s="8"/>
      <c r="J20" s="8"/>
      <c r="K20" s="9"/>
      <c r="N20" s="1229"/>
      <c r="O20" s="15" t="s">
        <v>259</v>
      </c>
      <c r="P20" s="198">
        <f>MIN(INT(($P$4*$G$49*R17)*(1+$U$7+$B$34+$E$34+$B$52+$K$35)),ReadMe!$M$99)</f>
        <v>19542</v>
      </c>
      <c r="Q20" s="1236"/>
      <c r="R20" s="86" t="s">
        <v>259</v>
      </c>
      <c r="S20" s="157">
        <f>MIN(INT(P20*$F$41),ReadMe!$M$99)</f>
        <v>29313</v>
      </c>
      <c r="T20" s="1646"/>
      <c r="U20" s="1647"/>
      <c r="V20" s="776"/>
      <c r="W20" s="776"/>
    </row>
    <row r="21" spans="2:23" ht="13.5">
      <c r="B21" s="22"/>
      <c r="C21" s="21"/>
      <c r="D21" s="138"/>
      <c r="E21" s="42" t="s">
        <v>1305</v>
      </c>
      <c r="F21" s="8"/>
      <c r="G21" s="8">
        <v>2</v>
      </c>
      <c r="H21" s="8">
        <v>2</v>
      </c>
      <c r="I21" s="8">
        <v>2</v>
      </c>
      <c r="J21" s="8">
        <v>2</v>
      </c>
      <c r="K21" s="9"/>
      <c r="N21" s="1201" t="s">
        <v>1379</v>
      </c>
      <c r="O21" s="84" t="s">
        <v>257</v>
      </c>
      <c r="P21" s="736">
        <f>P18*6</f>
        <v>82074</v>
      </c>
      <c r="Q21" s="265"/>
      <c r="R21" s="320"/>
      <c r="S21" s="320"/>
      <c r="T21" s="517" t="s">
        <v>257</v>
      </c>
      <c r="U21" s="527">
        <f>INT(P21+(P21*$W$3))</f>
        <v>179742</v>
      </c>
      <c r="V21" s="776"/>
      <c r="W21" s="776"/>
    </row>
    <row r="22" spans="2:23" ht="13.5">
      <c r="B22" s="149"/>
      <c r="C22" s="59"/>
      <c r="D22" s="482"/>
      <c r="E22" s="42" t="s">
        <v>1398</v>
      </c>
      <c r="F22" s="8"/>
      <c r="G22" s="8">
        <v>3</v>
      </c>
      <c r="H22" s="8">
        <v>3</v>
      </c>
      <c r="I22" s="8">
        <v>3</v>
      </c>
      <c r="J22" s="8">
        <v>3</v>
      </c>
      <c r="K22" s="9"/>
      <c r="N22" s="1456"/>
      <c r="O22" s="91" t="s">
        <v>258</v>
      </c>
      <c r="P22" s="1023">
        <f>U18*6</f>
        <v>113112</v>
      </c>
      <c r="Q22" s="1567" t="s">
        <v>402</v>
      </c>
      <c r="R22" s="1568"/>
      <c r="S22" s="1568"/>
      <c r="T22" s="646" t="s">
        <v>335</v>
      </c>
      <c r="U22" s="671">
        <f>INT(P22+(P22*$W$3))</f>
        <v>247715</v>
      </c>
      <c r="V22" s="403">
        <f>MIN(INT(($O$4*$G$49*R17)*(1+$B$34+$E$34+$B$52+$K$35)*$E$42),ReadMe!$M$99)*(1+$W$4)*6</f>
        <v>113118</v>
      </c>
      <c r="W22" s="776"/>
    </row>
    <row r="23" spans="2:23" ht="14.25" thickBot="1">
      <c r="B23" s="136"/>
      <c r="C23" s="57"/>
      <c r="D23" s="139"/>
      <c r="E23" s="42" t="s">
        <v>181</v>
      </c>
      <c r="F23" s="8"/>
      <c r="G23" s="8"/>
      <c r="H23" s="8"/>
      <c r="I23" s="8"/>
      <c r="J23" s="8"/>
      <c r="K23" s="9"/>
      <c r="N23" s="1458"/>
      <c r="O23" s="92" t="s">
        <v>329</v>
      </c>
      <c r="P23" s="154">
        <f>S20*6</f>
        <v>175878</v>
      </c>
      <c r="Q23" s="1570"/>
      <c r="R23" s="1571"/>
      <c r="S23" s="1571"/>
      <c r="T23" s="274" t="s">
        <v>259</v>
      </c>
      <c r="U23" s="529">
        <f>INT(P23+(P23*$W$3))</f>
        <v>385172</v>
      </c>
      <c r="V23" s="776"/>
      <c r="W23" s="776"/>
    </row>
    <row r="24" spans="2:23" ht="13.5" customHeight="1" thickBot="1">
      <c r="B24" s="136"/>
      <c r="C24" s="57"/>
      <c r="D24" s="473"/>
      <c r="E24" s="42" t="s">
        <v>1399</v>
      </c>
      <c r="F24" s="8"/>
      <c r="G24" s="8"/>
      <c r="H24" s="8"/>
      <c r="I24" s="8"/>
      <c r="J24" s="8"/>
      <c r="K24" s="9"/>
      <c r="N24" s="1164" t="s">
        <v>280</v>
      </c>
      <c r="O24" s="1644"/>
      <c r="P24" s="1644"/>
      <c r="Q24" s="1645"/>
      <c r="R24" s="1487">
        <f>(U22*$Q$12+V22*$R$12)*U17*$G$47+IF($A$16="true",$Y$5)</f>
        <v>16319937.777777776</v>
      </c>
      <c r="S24" s="1488"/>
      <c r="T24" s="1170"/>
      <c r="U24" s="1171"/>
      <c r="V24" s="776"/>
      <c r="W24" s="776"/>
    </row>
    <row r="25" spans="2:23" ht="14.25" thickBot="1">
      <c r="B25" s="136"/>
      <c r="C25" s="57"/>
      <c r="D25" s="473"/>
      <c r="E25" s="42" t="s">
        <v>1153</v>
      </c>
      <c r="F25" s="8">
        <v>20</v>
      </c>
      <c r="G25" s="8"/>
      <c r="H25" s="8"/>
      <c r="I25" s="8"/>
      <c r="J25" s="8"/>
      <c r="K25" s="9"/>
      <c r="T25" s="486"/>
      <c r="U25" s="486"/>
      <c r="V25" s="776"/>
      <c r="W25" s="776"/>
    </row>
    <row r="26" spans="2:23" ht="14.25" thickBot="1">
      <c r="B26" s="140"/>
      <c r="C26" s="555"/>
      <c r="D26" s="141"/>
      <c r="E26" s="42" t="s">
        <v>714</v>
      </c>
      <c r="F26" s="8"/>
      <c r="G26" s="8"/>
      <c r="H26" s="8"/>
      <c r="I26" s="8"/>
      <c r="J26" s="8"/>
      <c r="K26" s="9"/>
      <c r="N26" s="1158" t="s">
        <v>1359</v>
      </c>
      <c r="O26" s="1159"/>
      <c r="P26" s="1159"/>
      <c r="Q26" s="1159"/>
      <c r="R26" s="1159"/>
      <c r="S26" s="1159"/>
      <c r="T26" s="1159"/>
      <c r="U26" s="1160"/>
      <c r="V26" s="776"/>
      <c r="W26" s="776"/>
    </row>
    <row r="27" spans="2:23" ht="14.25" thickBot="1">
      <c r="B27" s="1132" t="s">
        <v>1400</v>
      </c>
      <c r="C27" s="1128"/>
      <c r="D27" s="20">
        <v>9</v>
      </c>
      <c r="E27" s="216" t="s">
        <v>1401</v>
      </c>
      <c r="F27" s="8"/>
      <c r="G27" s="40">
        <f>ROUNDDOWN(G3*D28%,0)</f>
        <v>0</v>
      </c>
      <c r="H27" s="40">
        <f>ROUNDDOWN(H3*D28%,0)</f>
        <v>3</v>
      </c>
      <c r="I27" s="40">
        <f>ROUNDDOWN(I3*D28%,0)</f>
        <v>0</v>
      </c>
      <c r="J27" s="40">
        <f>ROUNDDOWN(J3*D28%,0)</f>
        <v>35</v>
      </c>
      <c r="K27" s="9">
        <v>20</v>
      </c>
      <c r="N27" s="263" t="s">
        <v>447</v>
      </c>
      <c r="O27" s="174">
        <f>D7</f>
        <v>30</v>
      </c>
      <c r="P27" s="1332" t="s">
        <v>252</v>
      </c>
      <c r="Q27" s="1333"/>
      <c r="R27" s="264">
        <f>(135+O27)/100</f>
        <v>1.65</v>
      </c>
      <c r="S27" s="1648" t="s">
        <v>415</v>
      </c>
      <c r="T27" s="1649"/>
      <c r="U27" s="65">
        <v>96</v>
      </c>
      <c r="V27" s="776"/>
      <c r="W27" s="776"/>
    </row>
    <row r="28" spans="2:23" ht="14.25" thickBot="1">
      <c r="B28" s="14" t="s">
        <v>263</v>
      </c>
      <c r="C28" s="538"/>
      <c r="D28" s="46">
        <f>ROUNDUP(D27/2,0)</f>
        <v>5</v>
      </c>
      <c r="E28" s="7" t="s">
        <v>264</v>
      </c>
      <c r="F28" s="43">
        <f>D29+D9</f>
        <v>30</v>
      </c>
      <c r="G28" s="43">
        <f>SUM(G4:G26)</f>
        <v>27</v>
      </c>
      <c r="H28" s="43">
        <f>SUM(H4:H26)</f>
        <v>78</v>
      </c>
      <c r="I28" s="43">
        <f>SUM(I4:I26)</f>
        <v>27</v>
      </c>
      <c r="J28" s="43">
        <f>SUM(J4:J26)</f>
        <v>82</v>
      </c>
      <c r="K28" s="44">
        <f>SUM(K3:K27)+D29</f>
        <v>38</v>
      </c>
      <c r="N28" s="1227" t="s">
        <v>304</v>
      </c>
      <c r="O28" s="76" t="s">
        <v>257</v>
      </c>
      <c r="P28" s="521">
        <f>MIN(INT(($R$4*R27)*(1+$U$7+$B$34+$E$34+$B$52+$K$35)),ReadMe!$M$99)</f>
        <v>20232</v>
      </c>
      <c r="Q28" s="1234" t="s">
        <v>725</v>
      </c>
      <c r="R28" s="186" t="s">
        <v>257</v>
      </c>
      <c r="S28" s="155">
        <f>MIN(INT(P28*$E$41),ReadMe!$M$99)</f>
        <v>28324</v>
      </c>
      <c r="T28" s="1564" t="s">
        <v>323</v>
      </c>
      <c r="U28" s="1556">
        <f>INT(P29*(1-$G$41)+S29*$G$41)</f>
        <v>27883</v>
      </c>
      <c r="V28" s="776"/>
      <c r="W28" s="776"/>
    </row>
    <row r="29" spans="2:23" ht="14.25" thickBot="1">
      <c r="B29" s="17" t="s">
        <v>1378</v>
      </c>
      <c r="C29" s="195"/>
      <c r="D29" s="313">
        <v>0</v>
      </c>
      <c r="E29" s="14" t="s">
        <v>256</v>
      </c>
      <c r="F29" s="48">
        <f>SUM(F4:F28)</f>
        <v>264</v>
      </c>
      <c r="G29" s="546">
        <f>INT((G3+G27+G28)*(1+G32))</f>
        <v>31</v>
      </c>
      <c r="H29" s="546">
        <f>INT((H3+H27+H28)*(1+H32))</f>
        <v>150</v>
      </c>
      <c r="I29" s="546">
        <f>INT((I3+I27+I28)*(1+I32))</f>
        <v>31</v>
      </c>
      <c r="J29" s="546">
        <f>INT((J3+J27+J28)*(1+J32))</f>
        <v>893</v>
      </c>
      <c r="K29" s="547">
        <f>($G$29*0.4+$J$29*0.8+$H$29*1.6+K28)*(1+K32)</f>
        <v>1004.8000000000001</v>
      </c>
      <c r="N29" s="1228"/>
      <c r="O29" s="43" t="s">
        <v>258</v>
      </c>
      <c r="P29" s="522">
        <f>INT((P28+P30)/2)</f>
        <v>24567</v>
      </c>
      <c r="Q29" s="1235"/>
      <c r="R29" s="79" t="s">
        <v>258</v>
      </c>
      <c r="S29" s="156">
        <f>MIN(INT(P29*(($E$41+$F$41)/2)),ReadMe!$M$99)</f>
        <v>35622</v>
      </c>
      <c r="T29" s="1565"/>
      <c r="U29" s="1557"/>
      <c r="V29" s="776"/>
      <c r="W29" s="776"/>
    </row>
    <row r="30" spans="2:23" ht="14.25" customHeight="1" thickBot="1">
      <c r="B30" s="1305" t="s">
        <v>981</v>
      </c>
      <c r="C30" s="1306"/>
      <c r="D30" s="1306"/>
      <c r="E30" s="1306"/>
      <c r="F30" s="1306"/>
      <c r="G30" s="1306"/>
      <c r="H30" s="1306"/>
      <c r="I30" s="1306"/>
      <c r="J30" s="1306"/>
      <c r="K30" s="1307"/>
      <c r="N30" s="1229"/>
      <c r="O30" s="15" t="s">
        <v>259</v>
      </c>
      <c r="P30" s="523">
        <f>MIN(INT(($T$4*R27)*(1+$U$7+$B$34+$E$34+$B$52+$K$35)),ReadMe!$M$99)</f>
        <v>28903</v>
      </c>
      <c r="Q30" s="1236"/>
      <c r="R30" s="86" t="s">
        <v>259</v>
      </c>
      <c r="S30" s="157">
        <f>MIN(INT(P30*$F$41),ReadMe!$M$99)</f>
        <v>43354</v>
      </c>
      <c r="T30" s="1646"/>
      <c r="U30" s="1647"/>
      <c r="V30" s="776"/>
      <c r="W30" s="776"/>
    </row>
    <row r="31" spans="2:23" ht="13.5">
      <c r="B31" s="1218" t="s">
        <v>762</v>
      </c>
      <c r="C31" s="1219"/>
      <c r="D31" s="1220"/>
      <c r="E31" s="1308" t="s">
        <v>982</v>
      </c>
      <c r="F31" s="1309"/>
      <c r="G31" s="1" t="s">
        <v>986</v>
      </c>
      <c r="H31" s="3" t="s">
        <v>985</v>
      </c>
      <c r="I31" s="3" t="s">
        <v>984</v>
      </c>
      <c r="J31" s="3" t="s">
        <v>983</v>
      </c>
      <c r="K31" s="4" t="s">
        <v>987</v>
      </c>
      <c r="N31" s="1201" t="s">
        <v>1135</v>
      </c>
      <c r="O31" s="84" t="s">
        <v>257</v>
      </c>
      <c r="P31" s="736">
        <f>P28*3</f>
        <v>60696</v>
      </c>
      <c r="Q31" s="659"/>
      <c r="R31" s="660"/>
      <c r="S31" s="660"/>
      <c r="T31" s="517" t="s">
        <v>257</v>
      </c>
      <c r="U31" s="527">
        <f>INT(P31+(P31*$W$3))</f>
        <v>132924</v>
      </c>
      <c r="V31" s="776"/>
      <c r="W31" s="776"/>
    </row>
    <row r="32" spans="2:23" ht="14.25" customHeight="1" thickBot="1">
      <c r="B32" s="1210">
        <v>0</v>
      </c>
      <c r="C32" s="1211"/>
      <c r="D32" s="1212"/>
      <c r="E32" s="1130">
        <v>0</v>
      </c>
      <c r="F32" s="1131"/>
      <c r="G32" s="542">
        <v>0</v>
      </c>
      <c r="H32" s="543">
        <v>0</v>
      </c>
      <c r="I32" s="543">
        <v>0</v>
      </c>
      <c r="J32" s="543">
        <v>0.09</v>
      </c>
      <c r="K32" s="544">
        <v>0</v>
      </c>
      <c r="N32" s="1456"/>
      <c r="O32" s="91" t="s">
        <v>258</v>
      </c>
      <c r="P32" s="1023">
        <f>U28*3</f>
        <v>83649</v>
      </c>
      <c r="Q32" s="1567" t="s">
        <v>402</v>
      </c>
      <c r="R32" s="1568"/>
      <c r="S32" s="1568"/>
      <c r="T32" s="646" t="s">
        <v>335</v>
      </c>
      <c r="U32" s="671">
        <f>INT(P32+(P32*$W$3))</f>
        <v>183191</v>
      </c>
      <c r="V32" s="403">
        <f>MIN(INT(($S$4*R27)*(1+$B$34+$E$34+$B$52+$K$35)*$E$42),ReadMe!$M$99)*(1+$W$4)*3</f>
        <v>83650.2</v>
      </c>
      <c r="W32" s="776"/>
    </row>
    <row r="33" spans="2:23" ht="14.25" customHeight="1" thickBot="1">
      <c r="B33" s="1221" t="s">
        <v>135</v>
      </c>
      <c r="C33" s="1166"/>
      <c r="D33" s="1177"/>
      <c r="E33" s="1261" t="s">
        <v>877</v>
      </c>
      <c r="F33" s="1262"/>
      <c r="N33" s="1458"/>
      <c r="O33" s="92" t="s">
        <v>329</v>
      </c>
      <c r="P33" s="154">
        <f>S30*3</f>
        <v>130062</v>
      </c>
      <c r="Q33" s="1570"/>
      <c r="R33" s="1571"/>
      <c r="S33" s="1571"/>
      <c r="T33" s="274" t="s">
        <v>259</v>
      </c>
      <c r="U33" s="529">
        <f>INT(P33+(P33*$W$3))</f>
        <v>284835</v>
      </c>
      <c r="V33" s="776"/>
      <c r="W33" s="776"/>
    </row>
    <row r="34" spans="2:23" ht="14.25" customHeight="1" thickBot="1">
      <c r="B34" s="1210">
        <v>0</v>
      </c>
      <c r="C34" s="1222"/>
      <c r="D34" s="1212"/>
      <c r="E34" s="1130">
        <v>0</v>
      </c>
      <c r="F34" s="1131"/>
      <c r="I34" s="1297" t="s">
        <v>1417</v>
      </c>
      <c r="J34" s="1298"/>
      <c r="K34" s="1299"/>
      <c r="N34" s="1164" t="s">
        <v>280</v>
      </c>
      <c r="O34" s="1644"/>
      <c r="P34" s="1644"/>
      <c r="Q34" s="1645"/>
      <c r="R34" s="1487">
        <f>(U32*$Q$12+V32*$R$12)*U27*$G$47+IF($A$16="true",$Y$5)</f>
        <v>12687053.333333334</v>
      </c>
      <c r="S34" s="1488"/>
      <c r="T34" s="1170"/>
      <c r="U34" s="1171"/>
      <c r="V34" s="776"/>
      <c r="W34" s="776"/>
    </row>
    <row r="35" spans="9:23" ht="14.25" customHeight="1" thickBot="1">
      <c r="I35" s="14" t="s">
        <v>1410</v>
      </c>
      <c r="J35" s="15"/>
      <c r="K35" s="534">
        <v>0</v>
      </c>
      <c r="T35" s="486"/>
      <c r="U35" s="486"/>
      <c r="V35" s="776"/>
      <c r="W35" s="776"/>
    </row>
    <row r="36" spans="2:23" ht="14.25" customHeight="1" thickBot="1">
      <c r="B36" s="1280" t="s">
        <v>88</v>
      </c>
      <c r="C36" s="1281"/>
      <c r="D36" s="1281"/>
      <c r="E36" s="503" t="s">
        <v>257</v>
      </c>
      <c r="F36" s="19" t="s">
        <v>259</v>
      </c>
      <c r="G36" s="504" t="s">
        <v>1085</v>
      </c>
      <c r="N36" s="1158" t="s">
        <v>550</v>
      </c>
      <c r="O36" s="1159"/>
      <c r="P36" s="1159"/>
      <c r="Q36" s="1159"/>
      <c r="R36" s="1159"/>
      <c r="S36" s="1159"/>
      <c r="T36" s="1159"/>
      <c r="U36" s="1160"/>
      <c r="V36" s="776"/>
      <c r="W36" s="776"/>
    </row>
    <row r="37" spans="2:23" ht="14.25" customHeight="1" thickBot="1">
      <c r="B37" s="1213" t="s">
        <v>90</v>
      </c>
      <c r="C37" s="1214"/>
      <c r="D37" s="1215"/>
      <c r="E37" s="35">
        <f>(120+D8*2)/100</f>
        <v>1.4</v>
      </c>
      <c r="F37" s="507">
        <v>1.5</v>
      </c>
      <c r="G37" s="241">
        <f>(5+IF(D8=0,0,5+D8*2))/100</f>
        <v>0.3</v>
      </c>
      <c r="I37" s="1256" t="s">
        <v>438</v>
      </c>
      <c r="J37" s="1300"/>
      <c r="K37" s="1301"/>
      <c r="N37" s="263" t="s">
        <v>447</v>
      </c>
      <c r="O37" s="174">
        <v>20</v>
      </c>
      <c r="P37" s="1332" t="s">
        <v>252</v>
      </c>
      <c r="Q37" s="1333"/>
      <c r="R37" s="264">
        <v>2.4</v>
      </c>
      <c r="S37" s="1648" t="s">
        <v>415</v>
      </c>
      <c r="T37" s="1649"/>
      <c r="U37" s="65">
        <v>162</v>
      </c>
      <c r="V37" s="776"/>
      <c r="W37" s="776"/>
    </row>
    <row r="38" spans="2:23" ht="14.25" customHeight="1" thickBot="1">
      <c r="B38" s="1228" t="s">
        <v>86</v>
      </c>
      <c r="C38" s="1284"/>
      <c r="D38" s="516">
        <v>0</v>
      </c>
      <c r="E38" s="506"/>
      <c r="F38" s="505">
        <f>D38/100</f>
        <v>0</v>
      </c>
      <c r="G38" s="511">
        <f>IF(D38=0,0,(5+ROUNDUP(D38/2,0))/100)</f>
        <v>0</v>
      </c>
      <c r="I38" s="1256" t="s">
        <v>440</v>
      </c>
      <c r="J38" s="1257"/>
      <c r="K38" s="1258"/>
      <c r="N38" s="1227" t="s">
        <v>304</v>
      </c>
      <c r="O38" s="76" t="s">
        <v>257</v>
      </c>
      <c r="P38" s="521">
        <f>MIN(INT(($R$4*R37)*(1+$U$7+$B$34+$E$34+$B$52+$K$35)),ReadMe!$M$99)</f>
        <v>29428</v>
      </c>
      <c r="Q38" s="1234" t="s">
        <v>725</v>
      </c>
      <c r="R38" s="186" t="s">
        <v>257</v>
      </c>
      <c r="S38" s="155">
        <f>MIN(INT(P38*$E$41),ReadMe!$M$99)</f>
        <v>41199</v>
      </c>
      <c r="T38" s="1564" t="s">
        <v>323</v>
      </c>
      <c r="U38" s="1556">
        <f>INT(P39*(1-$G$41)+S39*$G$41)</f>
        <v>40558</v>
      </c>
      <c r="V38" s="776"/>
      <c r="W38" s="776"/>
    </row>
    <row r="39" spans="1:23" ht="14.25" customHeight="1"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8"/>
      <c r="O39" s="43" t="s">
        <v>258</v>
      </c>
      <c r="P39" s="522">
        <f>INT((P38+P40)/2)</f>
        <v>35734</v>
      </c>
      <c r="Q39" s="1235"/>
      <c r="R39" s="79" t="s">
        <v>258</v>
      </c>
      <c r="S39" s="156">
        <f>MIN(INT(P39*(($E$41+$F$41)/2)),ReadMe!$M$99)</f>
        <v>51814</v>
      </c>
      <c r="T39" s="1565"/>
      <c r="U39" s="1557"/>
      <c r="V39" s="776"/>
      <c r="W39" s="776"/>
    </row>
    <row r="40" spans="2:23" ht="14.25" customHeight="1" thickBot="1">
      <c r="B40" s="1285" t="s">
        <v>89</v>
      </c>
      <c r="C40" s="1286"/>
      <c r="D40" s="1287"/>
      <c r="E40" s="513">
        <v>0</v>
      </c>
      <c r="F40" s="514">
        <v>0</v>
      </c>
      <c r="G40" s="515">
        <v>0</v>
      </c>
      <c r="N40" s="1187"/>
      <c r="O40" s="68" t="s">
        <v>259</v>
      </c>
      <c r="P40" s="680">
        <f>MIN(INT(($T$4*R37)*(1+$U$7+$B$34+$E$34+$B$52+$K$35)),ReadMe!$M$99)</f>
        <v>42041</v>
      </c>
      <c r="Q40" s="1236"/>
      <c r="R40" s="86" t="s">
        <v>259</v>
      </c>
      <c r="S40" s="157">
        <f>MIN(INT(P40*$F$41),ReadMe!$M$99)</f>
        <v>63061</v>
      </c>
      <c r="T40" s="1646"/>
      <c r="U40" s="1647"/>
      <c r="V40" s="776"/>
      <c r="W40" s="776"/>
    </row>
    <row r="41" spans="2:23" ht="14.25" thickBot="1">
      <c r="B41" s="1290" t="s">
        <v>91</v>
      </c>
      <c r="C41" s="1291"/>
      <c r="D41" s="1292"/>
      <c r="E41" s="508">
        <f>E37+E39+E40</f>
        <v>1.4</v>
      </c>
      <c r="F41" s="509">
        <f>F37+MAX(F38,F39)+F40</f>
        <v>1.5</v>
      </c>
      <c r="G41" s="510">
        <f>G37+MAX(G38,G39)+G40</f>
        <v>0.3</v>
      </c>
      <c r="I41" s="1259" t="s">
        <v>128</v>
      </c>
      <c r="J41" s="1260"/>
      <c r="K41" s="791"/>
      <c r="L41" s="402" t="b">
        <v>0</v>
      </c>
      <c r="M41" s="486" t="str">
        <f>IF(L41=TRUE,"TRUE",IF(K41=1,"TRUE","FLASE"))</f>
        <v>FLASE</v>
      </c>
      <c r="N41" s="1519"/>
      <c r="O41" s="1044"/>
      <c r="P41" s="1048"/>
      <c r="Q41" s="660"/>
      <c r="R41" s="660"/>
      <c r="S41" s="660"/>
      <c r="T41" s="517" t="s">
        <v>257</v>
      </c>
      <c r="U41" s="527">
        <f>INT(P38+(P38*$W$3))</f>
        <v>64447</v>
      </c>
      <c r="V41" s="776"/>
      <c r="W41" s="776"/>
    </row>
    <row r="42" spans="2:23" ht="14.25" thickBot="1">
      <c r="B42" s="1216" t="s">
        <v>331</v>
      </c>
      <c r="C42" s="1199"/>
      <c r="D42" s="1200"/>
      <c r="E42" s="1253">
        <f>(($E$41+$F$41)/2-1)*$G$41+1</f>
        <v>1.135</v>
      </c>
      <c r="F42" s="1254"/>
      <c r="G42" s="1255"/>
      <c r="I42" s="590" t="s">
        <v>1119</v>
      </c>
      <c r="J42" s="788"/>
      <c r="K42" s="789">
        <v>0</v>
      </c>
      <c r="N42" s="1438"/>
      <c r="O42" s="1047"/>
      <c r="P42" s="1049"/>
      <c r="Q42" s="1568" t="s">
        <v>402</v>
      </c>
      <c r="R42" s="1568"/>
      <c r="S42" s="1568"/>
      <c r="T42" s="646" t="s">
        <v>335</v>
      </c>
      <c r="U42" s="671">
        <f>INT(U38+(U38*$W$3))</f>
        <v>88822</v>
      </c>
      <c r="V42" s="403">
        <f>MIN(INT(($S$4*R37)*(1+$B$34+$E$34+$B$52+$K$35)*$E$42),ReadMe!$M$99)*(1+$W$4)</f>
        <v>40558.6</v>
      </c>
      <c r="W42" s="776"/>
    </row>
    <row r="43" spans="9:23" ht="14.25" thickBot="1">
      <c r="I43" s="1251" t="s">
        <v>854</v>
      </c>
      <c r="J43" s="1252"/>
      <c r="K43" s="790">
        <f>IF(M41="true",IF(K42&gt;0,10+ROUNDUP(K42/3,0),10)/100,0)</f>
        <v>0</v>
      </c>
      <c r="L43" s="323"/>
      <c r="M43" s="323"/>
      <c r="N43" s="1164"/>
      <c r="O43" s="1050"/>
      <c r="P43" s="1051"/>
      <c r="Q43" s="1571"/>
      <c r="R43" s="1571"/>
      <c r="S43" s="1571"/>
      <c r="T43" s="274" t="s">
        <v>259</v>
      </c>
      <c r="U43" s="529">
        <f>INT(S40+(S40*$W$3))</f>
        <v>138103</v>
      </c>
      <c r="V43" s="776"/>
      <c r="W43" s="776"/>
    </row>
    <row r="44" spans="14:23" ht="14.25" thickBot="1">
      <c r="N44" s="1164" t="s">
        <v>280</v>
      </c>
      <c r="O44" s="1644"/>
      <c r="P44" s="1644"/>
      <c r="Q44" s="1645"/>
      <c r="R44" s="1487">
        <f>(U42*$Q$12+V42*$R$12)*U37*$G$47+IF($A$16="true",$Y$5)</f>
        <v>10455018</v>
      </c>
      <c r="S44" s="1488"/>
      <c r="T44" s="1170"/>
      <c r="U44" s="1171"/>
      <c r="V44" s="776"/>
      <c r="W44" s="776"/>
    </row>
    <row r="45" spans="2:23" ht="14.25" thickBot="1">
      <c r="B45" s="1282" t="s">
        <v>735</v>
      </c>
      <c r="C45" s="1283"/>
      <c r="D45" s="533">
        <v>125</v>
      </c>
      <c r="E45" s="1249" t="s">
        <v>736</v>
      </c>
      <c r="F45" s="1250"/>
      <c r="G45" s="25">
        <f>IF(D2&gt;D45,0,$D$45-$D$2)</f>
        <v>0</v>
      </c>
      <c r="I45" s="1137" t="s">
        <v>159</v>
      </c>
      <c r="J45" s="1138"/>
      <c r="K45" s="1139"/>
      <c r="V45" s="776"/>
      <c r="W45" s="776"/>
    </row>
    <row r="46" spans="2:23" ht="13.5" customHeight="1" thickBot="1">
      <c r="B46" s="1242" t="s">
        <v>769</v>
      </c>
      <c r="C46" s="1243"/>
      <c r="D46" s="9">
        <v>12</v>
      </c>
      <c r="E46" s="1242" t="s">
        <v>771</v>
      </c>
      <c r="F46" s="1243"/>
      <c r="G46" s="615">
        <f>IF(G45&gt;0,"-",D46)</f>
        <v>12</v>
      </c>
      <c r="I46" s="416" t="s">
        <v>160</v>
      </c>
      <c r="J46" s="539"/>
      <c r="K46" s="204">
        <v>0</v>
      </c>
      <c r="L46" s="323"/>
      <c r="M46" s="323"/>
      <c r="N46" s="1158" t="s">
        <v>775</v>
      </c>
      <c r="O46" s="1159"/>
      <c r="P46" s="1159"/>
      <c r="Q46" s="1159"/>
      <c r="R46" s="1159"/>
      <c r="S46" s="1159"/>
      <c r="T46" s="1159"/>
      <c r="U46" s="1160"/>
      <c r="V46" s="776"/>
      <c r="W46" s="776"/>
    </row>
    <row r="47" spans="2:23" ht="14.25" thickBot="1">
      <c r="B47" s="1293" t="s">
        <v>734</v>
      </c>
      <c r="C47" s="1294"/>
      <c r="D47" s="9">
        <v>0</v>
      </c>
      <c r="E47" s="1242" t="s">
        <v>770</v>
      </c>
      <c r="F47" s="1243"/>
      <c r="G47" s="511">
        <f>MAX((MIN(100+SQRT($K$29)-SQRT($D$46),100)-2*G45)/100,0)</f>
        <v>1</v>
      </c>
      <c r="I47" s="417" t="s">
        <v>161</v>
      </c>
      <c r="J47" s="540"/>
      <c r="K47" s="418">
        <f>IF(K46&gt;0,(K46+10)/100,0)</f>
        <v>0</v>
      </c>
      <c r="N47" s="263" t="s">
        <v>447</v>
      </c>
      <c r="O47" s="174">
        <v>20</v>
      </c>
      <c r="P47" s="1332" t="s">
        <v>252</v>
      </c>
      <c r="Q47" s="1333"/>
      <c r="R47" s="264">
        <f>(60+O47)/100</f>
        <v>0.8</v>
      </c>
      <c r="S47" s="1648" t="s">
        <v>415</v>
      </c>
      <c r="T47" s="1649"/>
      <c r="U47" s="65">
        <v>20</v>
      </c>
      <c r="V47" s="776"/>
      <c r="W47" s="776"/>
    </row>
    <row r="48" spans="2:23" ht="14.25" thickBot="1">
      <c r="B48" s="1278" t="s">
        <v>979</v>
      </c>
      <c r="C48" s="1279"/>
      <c r="D48" s="534">
        <v>0.25</v>
      </c>
      <c r="E48" s="1197" t="s">
        <v>980</v>
      </c>
      <c r="F48" s="1198"/>
      <c r="G48" s="28">
        <f>1-(D48-ROUNDUP(D48*(K47+U16+B32),2))</f>
        <v>0.8</v>
      </c>
      <c r="N48" s="1519" t="s">
        <v>785</v>
      </c>
      <c r="O48" s="1520"/>
      <c r="P48" s="995">
        <f>MIN(INT(($R$4*R47)*(1+0.1+$U$7+$B$34+$E$34+$B$52+$K$35)),ReadMe!$M$99)</f>
        <v>10386</v>
      </c>
      <c r="Q48" s="1653" t="s">
        <v>725</v>
      </c>
      <c r="R48" s="186" t="s">
        <v>257</v>
      </c>
      <c r="S48" s="155">
        <f>MIN(INT(P48*$E$41),ReadMe!$M$99)</f>
        <v>14540</v>
      </c>
      <c r="T48" s="1564" t="s">
        <v>323</v>
      </c>
      <c r="U48" s="1556">
        <f>S49</f>
        <v>18287</v>
      </c>
      <c r="V48" s="776"/>
      <c r="W48" s="776"/>
    </row>
    <row r="49" spans="4:23" ht="14.25" customHeight="1" thickBot="1">
      <c r="D49" s="402">
        <f>$D$47*(1-($K$47+$B$32))</f>
        <v>0</v>
      </c>
      <c r="E49" s="1637" t="s">
        <v>1034</v>
      </c>
      <c r="F49" s="1638"/>
      <c r="G49" s="28">
        <f>1-(D48-ROUNDUP(D48*(K47+U16+U16+B32),2))</f>
        <v>0.85</v>
      </c>
      <c r="I49" s="1246" t="s">
        <v>79</v>
      </c>
      <c r="J49" s="1247"/>
      <c r="K49" s="1248"/>
      <c r="L49" s="323"/>
      <c r="M49" s="162"/>
      <c r="N49" s="1438"/>
      <c r="O49" s="1439"/>
      <c r="P49" s="996">
        <f>INT((P48+P50)/2)</f>
        <v>12612</v>
      </c>
      <c r="Q49" s="1654"/>
      <c r="R49" s="79" t="s">
        <v>258</v>
      </c>
      <c r="S49" s="156">
        <f>MIN(INT(P49*(($E$41+$F$41)/2)),ReadMe!$M$99)</f>
        <v>18287</v>
      </c>
      <c r="T49" s="1565"/>
      <c r="U49" s="1557"/>
      <c r="V49" s="776"/>
      <c r="W49" s="776"/>
    </row>
    <row r="50" spans="2:23" ht="14.25" customHeight="1" thickBot="1">
      <c r="B50" s="1153" t="s">
        <v>1084</v>
      </c>
      <c r="C50" s="1133"/>
      <c r="D50" s="1129"/>
      <c r="I50" s="1127" t="s">
        <v>988</v>
      </c>
      <c r="J50" s="1217"/>
      <c r="K50" s="468"/>
      <c r="L50" s="486" t="b">
        <v>0</v>
      </c>
      <c r="M50" s="486" t="str">
        <f>IF(L50=TRUE,"TRUE",IF(K50=1,"TRUE","FLASE"))</f>
        <v>FLASE</v>
      </c>
      <c r="N50" s="1164"/>
      <c r="O50" s="1644"/>
      <c r="P50" s="997">
        <f>MIN(INT(($T$4*R47)*(1+0.1+$U$7+$B$34+$E$34+$B$52+$K$35)),ReadMe!$M$99)</f>
        <v>14838</v>
      </c>
      <c r="Q50" s="1655"/>
      <c r="R50" s="86" t="s">
        <v>259</v>
      </c>
      <c r="S50" s="157">
        <f>MIN(INT(P50*$F$41),ReadMe!$M$99)</f>
        <v>22257</v>
      </c>
      <c r="T50" s="1646"/>
      <c r="U50" s="1647"/>
      <c r="V50" s="776"/>
      <c r="W50" s="776"/>
    </row>
    <row r="51" spans="2:23" ht="14.25" customHeight="1" thickBot="1">
      <c r="B51" s="1187" t="s">
        <v>877</v>
      </c>
      <c r="C51" s="1188"/>
      <c r="D51" s="1189"/>
      <c r="I51" s="1244" t="s">
        <v>989</v>
      </c>
      <c r="J51" s="1245"/>
      <c r="K51" s="469"/>
      <c r="L51" s="486" t="b">
        <v>0</v>
      </c>
      <c r="M51" s="486" t="str">
        <f>IF(L51=TRUE,"TRUE",IF(K51=1,"TRUE","FLASE"))</f>
        <v>FLASE</v>
      </c>
      <c r="N51" s="1456" t="s">
        <v>632</v>
      </c>
      <c r="O51" s="608" t="s">
        <v>257</v>
      </c>
      <c r="P51" s="695">
        <f>S48*10</f>
        <v>145400</v>
      </c>
      <c r="Q51" s="659"/>
      <c r="R51" s="660"/>
      <c r="S51" s="660"/>
      <c r="T51" s="517" t="s">
        <v>257</v>
      </c>
      <c r="U51" s="527">
        <f>INT(P51+(P51*$W$3*0.5))</f>
        <v>231913</v>
      </c>
      <c r="V51" s="403">
        <f>MIN(INT(($S$4*R47)*(1+$B$34+$E$34+$B$52+$K$35)*(($E$41+$F$41)/2)),ReadMe!$M$99)*(1+$W$4*0.5)*10</f>
        <v>137146.5</v>
      </c>
      <c r="W51" s="776"/>
    </row>
    <row r="52" spans="2:25" ht="14.25" customHeight="1" thickBot="1">
      <c r="B52" s="1194">
        <v>0</v>
      </c>
      <c r="C52" s="1195"/>
      <c r="D52" s="1196"/>
      <c r="I52" s="1240" t="s">
        <v>854</v>
      </c>
      <c r="J52" s="1241"/>
      <c r="K52" s="206">
        <f>IF(M50="TRUE",1.04,IF(M51="TRUE",1.02,1))</f>
        <v>1</v>
      </c>
      <c r="L52" s="333"/>
      <c r="M52" s="333"/>
      <c r="N52" s="1456"/>
      <c r="O52" s="91" t="s">
        <v>258</v>
      </c>
      <c r="P52" s="1023">
        <f>S49*10</f>
        <v>182870</v>
      </c>
      <c r="Q52" s="1567" t="s">
        <v>402</v>
      </c>
      <c r="R52" s="1568"/>
      <c r="S52" s="1568"/>
      <c r="T52" s="646" t="s">
        <v>335</v>
      </c>
      <c r="U52" s="671">
        <f>INT(P52+(P52*$W$3*0.5))</f>
        <v>291677</v>
      </c>
      <c r="V52" s="1519" t="s">
        <v>11</v>
      </c>
      <c r="W52" s="1520"/>
      <c r="X52" s="1521"/>
      <c r="Y52" s="479" t="s">
        <v>267</v>
      </c>
    </row>
    <row r="53" spans="14:25" ht="14.25" customHeight="1" thickBot="1">
      <c r="N53" s="1458"/>
      <c r="O53" s="92" t="s">
        <v>329</v>
      </c>
      <c r="P53" s="154">
        <f>S50*10</f>
        <v>222570</v>
      </c>
      <c r="Q53" s="1570"/>
      <c r="R53" s="1571"/>
      <c r="S53" s="1571"/>
      <c r="T53" s="274" t="s">
        <v>259</v>
      </c>
      <c r="U53" s="529">
        <f>INT(P53+(P53*$W$3*0.5))</f>
        <v>354999</v>
      </c>
      <c r="V53" s="1164" t="s">
        <v>179</v>
      </c>
      <c r="W53" s="1644"/>
      <c r="X53" s="1165"/>
      <c r="Y53" s="480">
        <v>20</v>
      </c>
    </row>
    <row r="54" spans="2:25" ht="14.25" customHeight="1" thickBot="1">
      <c r="B54" s="1201" t="s">
        <v>265</v>
      </c>
      <c r="C54" s="1202"/>
      <c r="D54" s="1202"/>
      <c r="E54" s="1202"/>
      <c r="F54" s="1202"/>
      <c r="G54" s="1202"/>
      <c r="H54" s="1202"/>
      <c r="I54" s="1202"/>
      <c r="J54" s="1202"/>
      <c r="K54" s="1202"/>
      <c r="L54" s="1203"/>
      <c r="N54" s="1164" t="s">
        <v>280</v>
      </c>
      <c r="O54" s="1644"/>
      <c r="P54" s="1644"/>
      <c r="Q54" s="1645"/>
      <c r="R54" s="1487">
        <f>(U52*$Q$12+V51*$R$12)*U47*$G$47+IF($A$16="true",$Y$5)</f>
        <v>4526094.444444444</v>
      </c>
      <c r="S54" s="1488"/>
      <c r="T54" s="1170"/>
      <c r="U54" s="1171"/>
      <c r="V54" s="1487">
        <f>(V51*R12+U52*Q12)*U47+(U42*Q12+V42*R12)*U47*2+IF($A$16="true",$Y$5)</f>
        <v>7006454.444444444</v>
      </c>
      <c r="W54" s="1488"/>
      <c r="X54" s="1488"/>
      <c r="Y54" s="1528"/>
    </row>
    <row r="55" spans="2:12" ht="14.25" customHeight="1" thickBot="1">
      <c r="B55" s="1656" t="s">
        <v>607</v>
      </c>
      <c r="C55" s="1657"/>
      <c r="D55" s="1657"/>
      <c r="E55" s="1657"/>
      <c r="F55" s="1657"/>
      <c r="G55" s="1657"/>
      <c r="H55" s="1657"/>
      <c r="I55" s="1657"/>
      <c r="J55" s="1657"/>
      <c r="K55" s="1657"/>
      <c r="L55" s="1658"/>
    </row>
    <row r="56" spans="2:21" ht="14.25" customHeight="1" thickBot="1">
      <c r="B56" s="1639" t="s">
        <v>712</v>
      </c>
      <c r="C56" s="1640"/>
      <c r="D56" s="1640"/>
      <c r="E56" s="1640"/>
      <c r="F56" s="1640"/>
      <c r="G56" s="1640"/>
      <c r="H56" s="1640"/>
      <c r="I56" s="1640"/>
      <c r="J56" s="1640"/>
      <c r="K56" s="1640"/>
      <c r="L56" s="1641"/>
      <c r="N56" s="1158" t="s">
        <v>1114</v>
      </c>
      <c r="O56" s="1159"/>
      <c r="P56" s="1159"/>
      <c r="Q56" s="1159"/>
      <c r="R56" s="1159"/>
      <c r="S56" s="1159"/>
      <c r="T56" s="1159"/>
      <c r="U56" s="1160"/>
    </row>
    <row r="57" spans="2:21" ht="14.25" customHeight="1" thickBot="1">
      <c r="B57" s="1273" t="s">
        <v>677</v>
      </c>
      <c r="C57" s="1275"/>
      <c r="D57" s="1275"/>
      <c r="E57" s="1275"/>
      <c r="F57" s="1275"/>
      <c r="G57" s="1275"/>
      <c r="H57" s="1275"/>
      <c r="I57" s="1275"/>
      <c r="J57" s="1275"/>
      <c r="K57" s="1275"/>
      <c r="L57" s="1277"/>
      <c r="N57" s="263" t="s">
        <v>447</v>
      </c>
      <c r="O57" s="174">
        <v>20</v>
      </c>
      <c r="P57" s="1332" t="s">
        <v>252</v>
      </c>
      <c r="Q57" s="1333"/>
      <c r="R57" s="264">
        <f>(200+O57*4)/100</f>
        <v>2.8</v>
      </c>
      <c r="S57" s="1648"/>
      <c r="T57" s="1649"/>
      <c r="U57" s="65"/>
    </row>
    <row r="58" spans="2:21" ht="14.25" customHeight="1">
      <c r="B58" s="1273" t="s">
        <v>711</v>
      </c>
      <c r="C58" s="1275"/>
      <c r="D58" s="1275"/>
      <c r="E58" s="1275"/>
      <c r="F58" s="1275"/>
      <c r="G58" s="1275"/>
      <c r="H58" s="1275"/>
      <c r="I58" s="1275"/>
      <c r="J58" s="1275"/>
      <c r="K58" s="1275"/>
      <c r="L58" s="1277"/>
      <c r="N58" s="1227" t="s">
        <v>304</v>
      </c>
      <c r="O58" s="76" t="s">
        <v>257</v>
      </c>
      <c r="P58" s="521">
        <f>MIN(INT(($R$4*R57)*(1+$U$7+$B$34+$E$34+$B$52+$K$35)),ReadMe!$M$99)</f>
        <v>34333</v>
      </c>
      <c r="Q58" s="1234" t="s">
        <v>725</v>
      </c>
      <c r="R58" s="186" t="s">
        <v>257</v>
      </c>
      <c r="S58" s="155">
        <f>MIN(INT(P58*$E$41),ReadMe!$M$99)</f>
        <v>48066</v>
      </c>
      <c r="T58" s="1564" t="s">
        <v>323</v>
      </c>
      <c r="U58" s="1556">
        <f>INT(P59*(1-$G$41)+S59*$G$41)</f>
        <v>47318</v>
      </c>
    </row>
    <row r="59" spans="2:21" ht="14.25" customHeight="1">
      <c r="B59" s="1273" t="s">
        <v>678</v>
      </c>
      <c r="C59" s="1275"/>
      <c r="D59" s="1275"/>
      <c r="E59" s="1275"/>
      <c r="F59" s="1275"/>
      <c r="G59" s="1275"/>
      <c r="H59" s="1275"/>
      <c r="I59" s="1275"/>
      <c r="J59" s="1275"/>
      <c r="K59" s="1275"/>
      <c r="L59" s="1277"/>
      <c r="N59" s="1228"/>
      <c r="O59" s="43" t="s">
        <v>258</v>
      </c>
      <c r="P59" s="522">
        <f>INT((P58+P60)/2)</f>
        <v>41690</v>
      </c>
      <c r="Q59" s="1235"/>
      <c r="R59" s="79" t="s">
        <v>258</v>
      </c>
      <c r="S59" s="156">
        <f>MIN(INT(P59*(($E$41+$F$41)/2)),ReadMe!$M$99)</f>
        <v>60450</v>
      </c>
      <c r="T59" s="1565"/>
      <c r="U59" s="1557"/>
    </row>
    <row r="60" spans="2:21" ht="14.25" customHeight="1" thickBot="1">
      <c r="B60" s="1263" t="s">
        <v>679</v>
      </c>
      <c r="C60" s="1265"/>
      <c r="D60" s="1265"/>
      <c r="E60" s="1265"/>
      <c r="F60" s="1265"/>
      <c r="G60" s="1265"/>
      <c r="H60" s="1265"/>
      <c r="I60" s="1265"/>
      <c r="J60" s="1265"/>
      <c r="K60" s="1265"/>
      <c r="L60" s="1267"/>
      <c r="N60" s="1229"/>
      <c r="O60" s="15" t="s">
        <v>259</v>
      </c>
      <c r="P60" s="523">
        <f>MIN(INT(($T$4*R57)*(1+$U$7+$B$34+$E$34+$B$52+$K$35)),ReadMe!$M$99)</f>
        <v>49048</v>
      </c>
      <c r="Q60" s="1236"/>
      <c r="R60" s="86" t="s">
        <v>259</v>
      </c>
      <c r="S60" s="157">
        <f>MIN(INT(P60*$F$41),ReadMe!$M$99)</f>
        <v>73572</v>
      </c>
      <c r="T60" s="1646"/>
      <c r="U60" s="1647"/>
    </row>
    <row r="61" spans="14:21" ht="13.5">
      <c r="N61" s="1201" t="s">
        <v>1249</v>
      </c>
      <c r="O61" s="84" t="s">
        <v>257</v>
      </c>
      <c r="P61" s="736">
        <f>P58*2</f>
        <v>68666</v>
      </c>
      <c r="Q61" s="659"/>
      <c r="R61" s="660"/>
      <c r="S61" s="660"/>
      <c r="T61" s="517" t="s">
        <v>257</v>
      </c>
      <c r="U61" s="527">
        <f>INT(P61+(P61*$W$3))</f>
        <v>150378</v>
      </c>
    </row>
    <row r="62" spans="14:21" ht="13.5">
      <c r="N62" s="1456"/>
      <c r="O62" s="91" t="s">
        <v>258</v>
      </c>
      <c r="P62" s="1023">
        <f>U58*2</f>
        <v>94636</v>
      </c>
      <c r="Q62" s="1567" t="s">
        <v>402</v>
      </c>
      <c r="R62" s="1568"/>
      <c r="S62" s="1568"/>
      <c r="T62" s="646" t="s">
        <v>335</v>
      </c>
      <c r="U62" s="671">
        <f>INT(P62+(P62*$W$3))</f>
        <v>207252</v>
      </c>
    </row>
    <row r="63" spans="14:21" ht="14.25" thickBot="1">
      <c r="N63" s="1458"/>
      <c r="O63" s="92" t="s">
        <v>329</v>
      </c>
      <c r="P63" s="154">
        <f>S60*2</f>
        <v>147144</v>
      </c>
      <c r="Q63" s="1570"/>
      <c r="R63" s="1571"/>
      <c r="S63" s="1571"/>
      <c r="T63" s="274" t="s">
        <v>259</v>
      </c>
      <c r="U63" s="529">
        <f>INT(P63+(P63*$W$3))</f>
        <v>322245</v>
      </c>
    </row>
    <row r="64" ht="14.25" thickBot="1"/>
    <row r="65" spans="14:21" ht="14.25" thickBot="1">
      <c r="N65" s="1158" t="s">
        <v>953</v>
      </c>
      <c r="O65" s="1159"/>
      <c r="P65" s="1159"/>
      <c r="Q65" s="1159"/>
      <c r="R65" s="1159"/>
      <c r="S65" s="1159"/>
      <c r="T65" s="1159"/>
      <c r="U65" s="1160"/>
    </row>
    <row r="66" spans="14:21" ht="14.25" thickBot="1">
      <c r="N66" s="263" t="s">
        <v>447</v>
      </c>
      <c r="O66" s="174">
        <v>10</v>
      </c>
      <c r="P66" s="1332" t="s">
        <v>252</v>
      </c>
      <c r="Q66" s="1333"/>
      <c r="R66" s="264">
        <f>(195+O66*3)/100</f>
        <v>2.25</v>
      </c>
      <c r="S66" s="1648"/>
      <c r="T66" s="1649"/>
      <c r="U66" s="65"/>
    </row>
    <row r="67" spans="14:21" ht="13.5">
      <c r="N67" s="1227" t="s">
        <v>304</v>
      </c>
      <c r="O67" s="76" t="s">
        <v>257</v>
      </c>
      <c r="P67" s="521">
        <f>MIN(INT(($R$4*R66)*(1+$U$7+$B$34+$E$34+$B$52+$K$35)),ReadMe!$M$99)</f>
        <v>27589</v>
      </c>
      <c r="Q67" s="1234" t="s">
        <v>725</v>
      </c>
      <c r="R67" s="186" t="s">
        <v>257</v>
      </c>
      <c r="S67" s="155">
        <f>MIN(INT(P67*$E$41),ReadMe!$M$99)</f>
        <v>38624</v>
      </c>
      <c r="T67" s="1564" t="s">
        <v>323</v>
      </c>
      <c r="U67" s="1556">
        <f>INT(P68*(1-$G$41)+S68*$G$41)</f>
        <v>38023</v>
      </c>
    </row>
    <row r="68" spans="14:21" ht="13.5">
      <c r="N68" s="1228"/>
      <c r="O68" s="43" t="s">
        <v>258</v>
      </c>
      <c r="P68" s="522">
        <f>INT((P67+P69)/2)</f>
        <v>33501</v>
      </c>
      <c r="Q68" s="1235"/>
      <c r="R68" s="79" t="s">
        <v>258</v>
      </c>
      <c r="S68" s="156">
        <f>MIN(INT(P68*(($E$41+$F$41)/2)),ReadMe!$M$99)</f>
        <v>48576</v>
      </c>
      <c r="T68" s="1565"/>
      <c r="U68" s="1557"/>
    </row>
    <row r="69" spans="14:21" ht="14.25" thickBot="1">
      <c r="N69" s="1229"/>
      <c r="O69" s="15" t="s">
        <v>259</v>
      </c>
      <c r="P69" s="523">
        <f>MIN(INT(($T$4*R66)*(1+$U$7+$B$34+$E$34+$B$52+$K$35)),ReadMe!$M$99)</f>
        <v>39413</v>
      </c>
      <c r="Q69" s="1236"/>
      <c r="R69" s="86" t="s">
        <v>259</v>
      </c>
      <c r="S69" s="157">
        <f>MIN(INT(P69*$F$41),ReadMe!$M$99)</f>
        <v>59119</v>
      </c>
      <c r="T69" s="1646"/>
      <c r="U69" s="1647"/>
    </row>
    <row r="70" spans="14:21" ht="13.5">
      <c r="N70" s="1201" t="s">
        <v>1249</v>
      </c>
      <c r="O70" s="84" t="s">
        <v>257</v>
      </c>
      <c r="P70" s="736">
        <f>P67*2</f>
        <v>55178</v>
      </c>
      <c r="Q70" s="659"/>
      <c r="R70" s="660"/>
      <c r="S70" s="660"/>
      <c r="T70" s="517" t="s">
        <v>257</v>
      </c>
      <c r="U70" s="527">
        <f>INT(P70+(P70*$W$3))</f>
        <v>120839</v>
      </c>
    </row>
    <row r="71" spans="14:21" ht="13.5">
      <c r="N71" s="1456"/>
      <c r="O71" s="91" t="s">
        <v>258</v>
      </c>
      <c r="P71" s="1023">
        <f>U67*2</f>
        <v>76046</v>
      </c>
      <c r="Q71" s="1567" t="s">
        <v>402</v>
      </c>
      <c r="R71" s="1568"/>
      <c r="S71" s="1568"/>
      <c r="T71" s="646" t="s">
        <v>335</v>
      </c>
      <c r="U71" s="671">
        <f>INT(P71+(P71*$W$3))</f>
        <v>166540</v>
      </c>
    </row>
    <row r="72" spans="14:21" ht="14.25" thickBot="1">
      <c r="N72" s="1458"/>
      <c r="O72" s="92" t="s">
        <v>329</v>
      </c>
      <c r="P72" s="154">
        <f>S69*2</f>
        <v>118238</v>
      </c>
      <c r="Q72" s="1570"/>
      <c r="R72" s="1571"/>
      <c r="S72" s="1571"/>
      <c r="T72" s="274" t="s">
        <v>259</v>
      </c>
      <c r="U72" s="529">
        <f>INT(P72+(P72*$W$3))</f>
        <v>258941</v>
      </c>
    </row>
    <row r="73" ht="14.25" thickBot="1"/>
    <row r="74" spans="14:21" ht="14.25" thickBot="1">
      <c r="N74" s="1158" t="s">
        <v>633</v>
      </c>
      <c r="O74" s="1159"/>
      <c r="P74" s="1159"/>
      <c r="Q74" s="1159"/>
      <c r="R74" s="1159"/>
      <c r="S74" s="1159"/>
      <c r="T74" s="1159"/>
      <c r="U74" s="1160"/>
    </row>
    <row r="75" spans="14:21" ht="14.25" thickBot="1">
      <c r="N75" s="263" t="s">
        <v>447</v>
      </c>
      <c r="O75" s="174">
        <v>20</v>
      </c>
      <c r="P75" s="1332" t="s">
        <v>252</v>
      </c>
      <c r="Q75" s="1333"/>
      <c r="R75" s="264">
        <f>(200+O75*5)/100</f>
        <v>3</v>
      </c>
      <c r="S75" s="1648"/>
      <c r="T75" s="1649"/>
      <c r="U75" s="65"/>
    </row>
    <row r="76" spans="14:21" ht="13.5">
      <c r="N76" s="1227" t="s">
        <v>304</v>
      </c>
      <c r="O76" s="76" t="s">
        <v>257</v>
      </c>
      <c r="P76" s="521">
        <f>MIN(INT(($R$4*R75)*(1+$U$7+$B$34+$E$34+$B$52+$K$35)),ReadMe!$M$99)</f>
        <v>36786</v>
      </c>
      <c r="Q76" s="1234" t="s">
        <v>725</v>
      </c>
      <c r="R76" s="186" t="s">
        <v>257</v>
      </c>
      <c r="S76" s="155">
        <f>MIN(INT(P76*$E$41),ReadMe!$M$99)</f>
        <v>51500</v>
      </c>
      <c r="T76" s="1564" t="s">
        <v>323</v>
      </c>
      <c r="U76" s="1556">
        <f>INT(P77*(1-$G$41)+S77*$G$41)</f>
        <v>50698</v>
      </c>
    </row>
    <row r="77" spans="14:21" ht="13.5">
      <c r="N77" s="1228"/>
      <c r="O77" s="43" t="s">
        <v>258</v>
      </c>
      <c r="P77" s="522">
        <f>INT((P76+P78)/2)</f>
        <v>44668</v>
      </c>
      <c r="Q77" s="1235"/>
      <c r="R77" s="79" t="s">
        <v>258</v>
      </c>
      <c r="S77" s="156">
        <f>MIN(INT(P77*(($E$41+$F$41)/2)),ReadMe!$M$99)</f>
        <v>64768</v>
      </c>
      <c r="T77" s="1565"/>
      <c r="U77" s="1557"/>
    </row>
    <row r="78" spans="14:21" ht="14.25" thickBot="1">
      <c r="N78" s="1187"/>
      <c r="O78" s="68" t="s">
        <v>259</v>
      </c>
      <c r="P78" s="680">
        <f>MIN(INT(($T$4*R75)*(1+$U$7+$B$34+$E$34+$B$52+$K$35)),ReadMe!$M$99)</f>
        <v>52551</v>
      </c>
      <c r="Q78" s="1236"/>
      <c r="R78" s="86" t="s">
        <v>259</v>
      </c>
      <c r="S78" s="157">
        <f>MIN(INT(P78*$F$41),ReadMe!$M$99)</f>
        <v>78826</v>
      </c>
      <c r="T78" s="1646"/>
      <c r="U78" s="1647"/>
    </row>
    <row r="79" spans="14:21" ht="13.5">
      <c r="N79" s="1519"/>
      <c r="O79" s="1044"/>
      <c r="P79" s="1048"/>
      <c r="Q79" s="660"/>
      <c r="R79" s="660"/>
      <c r="S79" s="660"/>
      <c r="T79" s="517" t="s">
        <v>257</v>
      </c>
      <c r="U79" s="527">
        <f>INT(P76+(P76*$W$3))</f>
        <v>80561</v>
      </c>
    </row>
    <row r="80" spans="14:21" ht="13.5">
      <c r="N80" s="1438"/>
      <c r="O80" s="1047"/>
      <c r="P80" s="1049"/>
      <c r="Q80" s="1568" t="s">
        <v>402</v>
      </c>
      <c r="R80" s="1568"/>
      <c r="S80" s="1568"/>
      <c r="T80" s="646" t="s">
        <v>335</v>
      </c>
      <c r="U80" s="671">
        <f>INT(U76+(U76*$W$3))</f>
        <v>111028</v>
      </c>
    </row>
    <row r="81" spans="14:21" ht="14.25" thickBot="1">
      <c r="N81" s="1164"/>
      <c r="O81" s="1050"/>
      <c r="P81" s="1051"/>
      <c r="Q81" s="1571"/>
      <c r="R81" s="1571"/>
      <c r="S81" s="1571"/>
      <c r="T81" s="274" t="s">
        <v>259</v>
      </c>
      <c r="U81" s="529">
        <f>INT(S78+(S78*$W$3))</f>
        <v>172628</v>
      </c>
    </row>
    <row r="82" ht="14.25" thickBot="1"/>
    <row r="83" spans="14:21" ht="14.25" thickBot="1">
      <c r="N83" s="1237" t="s">
        <v>1405</v>
      </c>
      <c r="O83" s="1238"/>
      <c r="P83" s="1238"/>
      <c r="Q83" s="1238"/>
      <c r="R83" s="1238"/>
      <c r="S83" s="1238"/>
      <c r="T83" s="1238"/>
      <c r="U83" s="1239"/>
    </row>
    <row r="84" spans="14:21" ht="14.25" thickBot="1">
      <c r="N84" s="1342" t="s">
        <v>1406</v>
      </c>
      <c r="O84" s="1343"/>
      <c r="P84" s="463">
        <v>1.8</v>
      </c>
      <c r="Q84" s="1181" t="s">
        <v>267</v>
      </c>
      <c r="R84" s="1182"/>
      <c r="S84" s="313">
        <v>3</v>
      </c>
      <c r="T84" s="465" t="s">
        <v>310</v>
      </c>
      <c r="U84" s="462">
        <v>0.7</v>
      </c>
    </row>
    <row r="85" spans="14:21" ht="13.5">
      <c r="N85" s="1227" t="s">
        <v>304</v>
      </c>
      <c r="O85" s="76" t="s">
        <v>257</v>
      </c>
      <c r="P85" s="521">
        <f>MIN(INT(($R$4*P84)*(1+$U$7+$B$34+$E$34+$B$52+$K$35)),ReadMe!$M$99)</f>
        <v>22071</v>
      </c>
      <c r="Q85" s="1234" t="s">
        <v>725</v>
      </c>
      <c r="R85" s="186" t="s">
        <v>257</v>
      </c>
      <c r="S85" s="155">
        <f>MIN(INT(P85*$E$41),ReadMe!$M$99)</f>
        <v>30899</v>
      </c>
      <c r="T85" s="1564" t="s">
        <v>323</v>
      </c>
      <c r="U85" s="1556">
        <f>INT(P86*(1-$G$41)+S86*$G$41)</f>
        <v>30418</v>
      </c>
    </row>
    <row r="86" spans="14:21" ht="13.5">
      <c r="N86" s="1228"/>
      <c r="O86" s="43" t="s">
        <v>258</v>
      </c>
      <c r="P86" s="522">
        <f>INT((P85+P87)/2)</f>
        <v>26800</v>
      </c>
      <c r="Q86" s="1235"/>
      <c r="R86" s="79" t="s">
        <v>258</v>
      </c>
      <c r="S86" s="156">
        <f>MIN(INT(P86*(($E$41+$F$41)/2)),ReadMe!$M$99)</f>
        <v>38860</v>
      </c>
      <c r="T86" s="1565"/>
      <c r="U86" s="1557"/>
    </row>
    <row r="87" spans="14:21" ht="14.25" thickBot="1">
      <c r="N87" s="1229"/>
      <c r="O87" s="15" t="s">
        <v>259</v>
      </c>
      <c r="P87" s="523">
        <f>MIN(INT(($T$4*P84)*(1+$U$7+$B$34+$E$34+$B$52+$K$35)),ReadMe!$M$99)</f>
        <v>31530</v>
      </c>
      <c r="Q87" s="1236"/>
      <c r="R87" s="86" t="s">
        <v>259</v>
      </c>
      <c r="S87" s="157">
        <f>MIN(INT(P87*$F$41),ReadMe!$M$99)</f>
        <v>47295</v>
      </c>
      <c r="T87" s="1646"/>
      <c r="U87" s="1647"/>
    </row>
    <row r="88" spans="14:21" ht="13.5">
      <c r="N88" s="1201" t="s">
        <v>279</v>
      </c>
      <c r="O88" s="84" t="s">
        <v>257</v>
      </c>
      <c r="P88" s="736">
        <f>P85*S84</f>
        <v>66213</v>
      </c>
      <c r="Q88" s="659"/>
      <c r="R88" s="660"/>
      <c r="S88" s="660"/>
      <c r="T88" s="517" t="s">
        <v>257</v>
      </c>
      <c r="U88" s="527">
        <f>INT(P88+(P88*$W$3))</f>
        <v>145006</v>
      </c>
    </row>
    <row r="89" spans="14:21" ht="13.5">
      <c r="N89" s="1456"/>
      <c r="O89" s="91" t="s">
        <v>258</v>
      </c>
      <c r="P89" s="1023">
        <f>U85*S84</f>
        <v>91254</v>
      </c>
      <c r="Q89" s="1567" t="s">
        <v>402</v>
      </c>
      <c r="R89" s="1568"/>
      <c r="S89" s="1568"/>
      <c r="T89" s="646" t="s">
        <v>335</v>
      </c>
      <c r="U89" s="671">
        <f>INT(P89+(P89*$W$3))</f>
        <v>199846</v>
      </c>
    </row>
    <row r="90" spans="14:21" ht="14.25" thickBot="1">
      <c r="N90" s="1458"/>
      <c r="O90" s="92" t="s">
        <v>329</v>
      </c>
      <c r="P90" s="154">
        <f>S87*S84</f>
        <v>141885</v>
      </c>
      <c r="Q90" s="1570"/>
      <c r="R90" s="1571"/>
      <c r="S90" s="1571"/>
      <c r="T90" s="274" t="s">
        <v>259</v>
      </c>
      <c r="U90" s="529">
        <f>INT(P90+(P90*$W$3))</f>
        <v>310728</v>
      </c>
    </row>
  </sheetData>
  <sheetProtection/>
  <protectedRanges>
    <protectedRange sqref="D45:D46 D48" name="範囲1_1_1"/>
  </protectedRanges>
  <mergeCells count="156">
    <mergeCell ref="B55:L55"/>
    <mergeCell ref="N88:N90"/>
    <mergeCell ref="Q89:S89"/>
    <mergeCell ref="Q90:S90"/>
    <mergeCell ref="N84:O84"/>
    <mergeCell ref="Q84:R84"/>
    <mergeCell ref="N85:N87"/>
    <mergeCell ref="Q85:Q87"/>
    <mergeCell ref="N74:U74"/>
    <mergeCell ref="P75:Q75"/>
    <mergeCell ref="T85:T87"/>
    <mergeCell ref="U85:U87"/>
    <mergeCell ref="N79:N81"/>
    <mergeCell ref="Q80:S80"/>
    <mergeCell ref="Q81:S81"/>
    <mergeCell ref="N83:U83"/>
    <mergeCell ref="U76:U78"/>
    <mergeCell ref="U67:U69"/>
    <mergeCell ref="N70:N72"/>
    <mergeCell ref="Q71:S71"/>
    <mergeCell ref="Q72:S72"/>
    <mergeCell ref="S75:T75"/>
    <mergeCell ref="N76:N78"/>
    <mergeCell ref="Q76:Q78"/>
    <mergeCell ref="T76:T78"/>
    <mergeCell ref="P66:Q66"/>
    <mergeCell ref="S66:T66"/>
    <mergeCell ref="N61:N63"/>
    <mergeCell ref="N67:N69"/>
    <mergeCell ref="Q67:Q69"/>
    <mergeCell ref="T67:T69"/>
    <mergeCell ref="Q62:S62"/>
    <mergeCell ref="U58:U60"/>
    <mergeCell ref="Q63:S63"/>
    <mergeCell ref="N65:U65"/>
    <mergeCell ref="V52:X52"/>
    <mergeCell ref="V53:X53"/>
    <mergeCell ref="V54:Y54"/>
    <mergeCell ref="Q53:S53"/>
    <mergeCell ref="N54:Q54"/>
    <mergeCell ref="R54:U54"/>
    <mergeCell ref="P57:Q57"/>
    <mergeCell ref="T9:T11"/>
    <mergeCell ref="U9:U11"/>
    <mergeCell ref="P47:Q47"/>
    <mergeCell ref="S47:T47"/>
    <mergeCell ref="N36:U36"/>
    <mergeCell ref="P37:Q37"/>
    <mergeCell ref="S37:T37"/>
    <mergeCell ref="N38:N40"/>
    <mergeCell ref="N41:N43"/>
    <mergeCell ref="Q38:Q40"/>
    <mergeCell ref="U38:U40"/>
    <mergeCell ref="Q42:S42"/>
    <mergeCell ref="S57:T57"/>
    <mergeCell ref="N58:N60"/>
    <mergeCell ref="Q58:Q60"/>
    <mergeCell ref="T58:T60"/>
    <mergeCell ref="Q48:Q50"/>
    <mergeCell ref="T48:T50"/>
    <mergeCell ref="U48:U50"/>
    <mergeCell ref="Q52:S52"/>
    <mergeCell ref="N51:N53"/>
    <mergeCell ref="N56:U56"/>
    <mergeCell ref="N46:U46"/>
    <mergeCell ref="Q43:S43"/>
    <mergeCell ref="N44:Q44"/>
    <mergeCell ref="R44:U44"/>
    <mergeCell ref="N48:O50"/>
    <mergeCell ref="B38:C38"/>
    <mergeCell ref="I41:J41"/>
    <mergeCell ref="I43:J43"/>
    <mergeCell ref="B39:C39"/>
    <mergeCell ref="B41:D41"/>
    <mergeCell ref="B40:D40"/>
    <mergeCell ref="B42:D42"/>
    <mergeCell ref="E42:G42"/>
    <mergeCell ref="F1:P1"/>
    <mergeCell ref="N2:P2"/>
    <mergeCell ref="B2:C2"/>
    <mergeCell ref="B27:C27"/>
    <mergeCell ref="B15:C15"/>
    <mergeCell ref="B4:D4"/>
    <mergeCell ref="N16:S16"/>
    <mergeCell ref="N18:N20"/>
    <mergeCell ref="N21:N23"/>
    <mergeCell ref="Q22:S22"/>
    <mergeCell ref="S17:T17"/>
    <mergeCell ref="R2:T2"/>
    <mergeCell ref="N6:U6"/>
    <mergeCell ref="P17:Q17"/>
    <mergeCell ref="P7:Q7"/>
    <mergeCell ref="S8:T8"/>
    <mergeCell ref="P8:Q8"/>
    <mergeCell ref="N9:N11"/>
    <mergeCell ref="S7:T7"/>
    <mergeCell ref="Q9:Q11"/>
    <mergeCell ref="U28:U30"/>
    <mergeCell ref="B30:K30"/>
    <mergeCell ref="N24:Q24"/>
    <mergeCell ref="T28:T30"/>
    <mergeCell ref="S27:T27"/>
    <mergeCell ref="N28:N30"/>
    <mergeCell ref="Q28:Q30"/>
    <mergeCell ref="N26:U26"/>
    <mergeCell ref="P27:Q27"/>
    <mergeCell ref="Q18:Q20"/>
    <mergeCell ref="R24:U24"/>
    <mergeCell ref="T18:T20"/>
    <mergeCell ref="U18:U20"/>
    <mergeCell ref="E32:F32"/>
    <mergeCell ref="B36:D36"/>
    <mergeCell ref="E33:F33"/>
    <mergeCell ref="E34:F34"/>
    <mergeCell ref="B33:D33"/>
    <mergeCell ref="B45:C45"/>
    <mergeCell ref="E45:F45"/>
    <mergeCell ref="R34:U34"/>
    <mergeCell ref="N31:N33"/>
    <mergeCell ref="I34:K34"/>
    <mergeCell ref="T38:T40"/>
    <mergeCell ref="B37:D37"/>
    <mergeCell ref="B31:D31"/>
    <mergeCell ref="E31:F31"/>
    <mergeCell ref="B32:D32"/>
    <mergeCell ref="I50:J50"/>
    <mergeCell ref="I38:K38"/>
    <mergeCell ref="I49:K49"/>
    <mergeCell ref="I45:K45"/>
    <mergeCell ref="I51:J51"/>
    <mergeCell ref="B56:L56"/>
    <mergeCell ref="X2:Y2"/>
    <mergeCell ref="D10:D11"/>
    <mergeCell ref="B34:D34"/>
    <mergeCell ref="V2:W2"/>
    <mergeCell ref="Q23:S23"/>
    <mergeCell ref="Q32:S32"/>
    <mergeCell ref="Q33:S33"/>
    <mergeCell ref="N34:Q34"/>
    <mergeCell ref="B46:C46"/>
    <mergeCell ref="E46:F46"/>
    <mergeCell ref="B60:L60"/>
    <mergeCell ref="I37:K37"/>
    <mergeCell ref="B59:L59"/>
    <mergeCell ref="B57:L57"/>
    <mergeCell ref="B58:L58"/>
    <mergeCell ref="B52:D52"/>
    <mergeCell ref="B54:L54"/>
    <mergeCell ref="I52:J52"/>
    <mergeCell ref="B50:D50"/>
    <mergeCell ref="B47:C47"/>
    <mergeCell ref="B51:D51"/>
    <mergeCell ref="E48:F48"/>
    <mergeCell ref="E49:F49"/>
    <mergeCell ref="B48:C48"/>
    <mergeCell ref="E47:F47"/>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xl/worksheets/sheet9.xml><?xml version="1.0" encoding="utf-8"?>
<worksheet xmlns="http://schemas.openxmlformats.org/spreadsheetml/2006/main" xmlns:r="http://schemas.openxmlformats.org/officeDocument/2006/relationships">
  <dimension ref="A1:AI85"/>
  <sheetViews>
    <sheetView workbookViewId="0" topLeftCell="R1">
      <selection activeCell="C16" sqref="C16"/>
    </sheetView>
  </sheetViews>
  <sheetFormatPr defaultColWidth="9.00390625" defaultRowHeight="13.5"/>
  <cols>
    <col min="1" max="1" width="2.625" style="0" customWidth="1"/>
    <col min="2" max="11" width="5.625" style="0" customWidth="1"/>
    <col min="12" max="13" width="2.625" style="0" customWidth="1"/>
    <col min="22" max="22" width="1.625" style="0" customWidth="1"/>
    <col min="24" max="24" width="3.625" style="0" customWidth="1"/>
  </cols>
  <sheetData>
    <row r="1" spans="6:16" ht="24.75" thickBot="1">
      <c r="F1" s="1223" t="s">
        <v>514</v>
      </c>
      <c r="G1" s="1223"/>
      <c r="H1" s="1223"/>
      <c r="I1" s="1223"/>
      <c r="J1" s="1223"/>
      <c r="K1" s="1223"/>
      <c r="L1" s="1223"/>
      <c r="M1" s="1223"/>
      <c r="N1" s="1223"/>
      <c r="O1" s="1223"/>
      <c r="P1" s="1223"/>
    </row>
    <row r="2" spans="2:34" ht="14.25" thickBot="1">
      <c r="B2" s="1153" t="s">
        <v>506</v>
      </c>
      <c r="C2" s="1154"/>
      <c r="D2" s="2">
        <v>150</v>
      </c>
      <c r="E2" s="1"/>
      <c r="F2" s="3" t="s">
        <v>527</v>
      </c>
      <c r="G2" s="3" t="s">
        <v>507</v>
      </c>
      <c r="H2" s="3" t="s">
        <v>508</v>
      </c>
      <c r="I2" s="3" t="s">
        <v>510</v>
      </c>
      <c r="J2" s="3" t="s">
        <v>509</v>
      </c>
      <c r="K2" s="4" t="s">
        <v>749</v>
      </c>
      <c r="N2" s="1224" t="s">
        <v>301</v>
      </c>
      <c r="O2" s="1225"/>
      <c r="P2" s="1226"/>
      <c r="Q2" s="57"/>
      <c r="R2" s="1224" t="s">
        <v>737</v>
      </c>
      <c r="S2" s="1225"/>
      <c r="T2" s="1226"/>
      <c r="W2" s="1659" t="s">
        <v>671</v>
      </c>
      <c r="X2" s="1660"/>
      <c r="Y2" s="1660"/>
      <c r="Z2" s="1660"/>
      <c r="AA2" s="1660"/>
      <c r="AB2" s="1660"/>
      <c r="AC2" s="1660"/>
      <c r="AD2" s="1660"/>
      <c r="AE2" s="1661"/>
      <c r="AF2" s="1342" t="s">
        <v>666</v>
      </c>
      <c r="AG2" s="1420"/>
      <c r="AH2" s="1421"/>
    </row>
    <row r="3" spans="2:34" ht="14.25" thickBot="1">
      <c r="B3" s="5" t="s">
        <v>241</v>
      </c>
      <c r="C3" s="536"/>
      <c r="D3" s="6">
        <f>((D2-1)*5+IF(D2&gt;=120,35,IF(D2&gt;=70,30,25)))-(G3+H3+J3+I3)</f>
        <v>0</v>
      </c>
      <c r="E3" s="7" t="s">
        <v>242</v>
      </c>
      <c r="F3" s="8"/>
      <c r="G3" s="8">
        <v>4</v>
      </c>
      <c r="H3" s="8">
        <v>4</v>
      </c>
      <c r="I3" s="8">
        <v>768</v>
      </c>
      <c r="J3" s="8">
        <v>4</v>
      </c>
      <c r="K3" s="9"/>
      <c r="N3" s="10" t="s">
        <v>270</v>
      </c>
      <c r="O3" s="11" t="s">
        <v>271</v>
      </c>
      <c r="P3" s="12" t="s">
        <v>272</v>
      </c>
      <c r="R3" s="10" t="s">
        <v>1288</v>
      </c>
      <c r="S3" s="11" t="s">
        <v>1289</v>
      </c>
      <c r="T3" s="12" t="s">
        <v>1290</v>
      </c>
      <c r="W3" s="874" t="s">
        <v>669</v>
      </c>
      <c r="X3" s="875"/>
      <c r="Y3" s="867" t="s">
        <v>670</v>
      </c>
      <c r="Z3" s="19" t="s">
        <v>1063</v>
      </c>
      <c r="AA3" s="19" t="s">
        <v>872</v>
      </c>
      <c r="AB3" s="19" t="s">
        <v>659</v>
      </c>
      <c r="AC3" s="19" t="s">
        <v>660</v>
      </c>
      <c r="AD3" s="19" t="s">
        <v>662</v>
      </c>
      <c r="AE3" s="870" t="s">
        <v>672</v>
      </c>
      <c r="AF3" s="871" t="s">
        <v>663</v>
      </c>
      <c r="AG3" s="872" t="s">
        <v>664</v>
      </c>
      <c r="AH3" s="873" t="s">
        <v>665</v>
      </c>
    </row>
    <row r="4" spans="2:34" ht="14.25" thickBot="1">
      <c r="B4" s="472" t="s">
        <v>518</v>
      </c>
      <c r="C4" s="541"/>
      <c r="D4" s="575" t="s">
        <v>1320</v>
      </c>
      <c r="E4" s="7" t="s">
        <v>243</v>
      </c>
      <c r="F4" s="8">
        <v>155</v>
      </c>
      <c r="G4" s="8"/>
      <c r="H4" s="8"/>
      <c r="I4" s="8">
        <v>7</v>
      </c>
      <c r="J4" s="8"/>
      <c r="K4" s="9"/>
      <c r="N4" s="14">
        <f>P4*(0.25+0.5)</f>
        <v>8127.967500000001</v>
      </c>
      <c r="O4" s="15">
        <f>(P4+N4)/2</f>
        <v>9482.62875</v>
      </c>
      <c r="P4" s="16">
        <f>$Q$4*($F$29+INT(($F$29*($E$32+$K$52+$K$43-1))))/100</f>
        <v>10837.29</v>
      </c>
      <c r="Q4" s="402">
        <f>1*(4*$I$29+$J$29)</f>
        <v>3999</v>
      </c>
      <c r="R4" s="14">
        <f>N4*$G$48*(1-$G$45/100)</f>
        <v>6095.975625000001</v>
      </c>
      <c r="S4" s="15">
        <f>O4*$G$48*(1-$G$45/100)</f>
        <v>7111.9715625</v>
      </c>
      <c r="T4" s="16">
        <f>P4*$G$48*(1-$G$45/100)</f>
        <v>8127.967500000001</v>
      </c>
      <c r="W4" s="7" t="s">
        <v>654</v>
      </c>
      <c r="X4" s="512"/>
      <c r="Y4" s="877">
        <f>U14</f>
        <v>83580</v>
      </c>
      <c r="Z4" s="879">
        <f>U13</f>
        <v>15172</v>
      </c>
      <c r="AA4" s="884">
        <f>R13</f>
        <v>5</v>
      </c>
      <c r="AB4" s="879">
        <f>Z4*AA4</f>
        <v>75860</v>
      </c>
      <c r="AC4" s="11">
        <f>60/R13</f>
        <v>12</v>
      </c>
      <c r="AD4" s="11">
        <f aca="true" t="shared" si="0" ref="AD4:AD9">INT((Y4+AB4)*AC4)</f>
        <v>1913280</v>
      </c>
      <c r="AE4" s="396">
        <f>60/U12</f>
        <v>0.7228915662650602</v>
      </c>
      <c r="AF4" s="876" t="s">
        <v>668</v>
      </c>
      <c r="AG4" s="11">
        <f>INT($U$22*AG10)</f>
        <v>560088</v>
      </c>
      <c r="AH4" s="12">
        <f aca="true" t="shared" si="1" ref="AH4:AH9">INT($U$29*AH10)</f>
        <v>116504</v>
      </c>
    </row>
    <row r="5" spans="2:34" ht="14.25" thickBot="1">
      <c r="B5" s="1" t="s">
        <v>515</v>
      </c>
      <c r="C5" s="3"/>
      <c r="D5" s="137">
        <v>30</v>
      </c>
      <c r="E5" s="42" t="s">
        <v>245</v>
      </c>
      <c r="F5" s="8">
        <v>18</v>
      </c>
      <c r="G5" s="8"/>
      <c r="H5" s="8"/>
      <c r="I5" s="8">
        <v>9</v>
      </c>
      <c r="J5" s="8"/>
      <c r="K5" s="9"/>
      <c r="N5" s="460">
        <f>IF(D4="火",1.25,IF(D4="毒",1.1,1))</f>
        <v>1</v>
      </c>
      <c r="O5" s="460">
        <f>IF(D4="毒",1.25,IF(D4="火",1.1,1))</f>
        <v>1</v>
      </c>
      <c r="P5" s="460"/>
      <c r="W5" s="7" t="s">
        <v>655</v>
      </c>
      <c r="X5" s="512"/>
      <c r="Y5" s="476">
        <f>U22</f>
        <v>46674</v>
      </c>
      <c r="Z5" s="880">
        <f>U21</f>
        <v>11921</v>
      </c>
      <c r="AA5" s="885">
        <f>R21</f>
        <v>10</v>
      </c>
      <c r="AB5" s="880">
        <f>Z5*AA5</f>
        <v>119210</v>
      </c>
      <c r="AC5" s="43">
        <f>60/R21</f>
        <v>6</v>
      </c>
      <c r="AD5" s="43">
        <f>INT((Y5+AB5)*AC5)</f>
        <v>995304</v>
      </c>
      <c r="AE5" s="62">
        <f>60/U20</f>
        <v>0.7228915662650602</v>
      </c>
      <c r="AF5" s="7">
        <f>INT($U$14*AF11)</f>
        <v>501480</v>
      </c>
      <c r="AG5" s="586" t="s">
        <v>1078</v>
      </c>
      <c r="AH5" s="44">
        <f>INT($U$29*AH11)</f>
        <v>58252</v>
      </c>
    </row>
    <row r="6" spans="2:34" ht="14.25" thickBot="1">
      <c r="B6" s="7" t="s">
        <v>516</v>
      </c>
      <c r="C6" s="43"/>
      <c r="D6" s="9">
        <v>30</v>
      </c>
      <c r="E6" s="42" t="s">
        <v>246</v>
      </c>
      <c r="F6" s="8"/>
      <c r="G6" s="8">
        <v>10</v>
      </c>
      <c r="H6" s="8">
        <v>10</v>
      </c>
      <c r="I6" s="8">
        <v>20</v>
      </c>
      <c r="J6" s="8">
        <v>10</v>
      </c>
      <c r="K6" s="9"/>
      <c r="N6" s="1158" t="s">
        <v>281</v>
      </c>
      <c r="O6" s="1159"/>
      <c r="P6" s="1159"/>
      <c r="Q6" s="1159"/>
      <c r="R6" s="1159"/>
      <c r="S6" s="1159"/>
      <c r="T6" s="1159"/>
      <c r="U6" s="1160"/>
      <c r="W6" s="7" t="s">
        <v>531</v>
      </c>
      <c r="X6" s="512"/>
      <c r="Y6" s="476">
        <f>U46</f>
        <v>99861</v>
      </c>
      <c r="Z6" s="880">
        <f>U45</f>
        <v>11270</v>
      </c>
      <c r="AA6" s="885">
        <f>R45</f>
        <v>5</v>
      </c>
      <c r="AB6" s="880">
        <f>Z6*AA6</f>
        <v>56350</v>
      </c>
      <c r="AC6" s="43">
        <f>60/T44</f>
        <v>1</v>
      </c>
      <c r="AD6" s="43">
        <f t="shared" si="0"/>
        <v>156211</v>
      </c>
      <c r="AE6" s="62">
        <v>4</v>
      </c>
      <c r="AF6" s="7">
        <f>INT($U$14*AF12)</f>
        <v>462476</v>
      </c>
      <c r="AG6" s="43">
        <f>INT($U$22*AG12)</f>
        <v>258262</v>
      </c>
      <c r="AH6" s="44">
        <f t="shared" si="1"/>
        <v>53721</v>
      </c>
    </row>
    <row r="7" spans="2:34" ht="14.25" thickBot="1">
      <c r="B7" s="1415" t="s">
        <v>517</v>
      </c>
      <c r="C7" s="1416"/>
      <c r="D7" s="9">
        <v>1</v>
      </c>
      <c r="E7" s="42" t="s">
        <v>247</v>
      </c>
      <c r="F7" s="8">
        <v>5</v>
      </c>
      <c r="G7" s="8"/>
      <c r="H7" s="8"/>
      <c r="I7" s="8"/>
      <c r="J7" s="8"/>
      <c r="K7" s="9"/>
      <c r="N7" s="1675" t="s">
        <v>765</v>
      </c>
      <c r="O7" s="1676"/>
      <c r="P7" s="4">
        <v>180</v>
      </c>
      <c r="Q7" s="1" t="s">
        <v>877</v>
      </c>
      <c r="R7" s="3"/>
      <c r="S7" s="490">
        <f>INT(D10/3)/100</f>
        <v>0.1</v>
      </c>
      <c r="T7" s="1305" t="s">
        <v>285</v>
      </c>
      <c r="U7" s="1307"/>
      <c r="W7" s="7" t="s">
        <v>656</v>
      </c>
      <c r="X7" s="512"/>
      <c r="Y7" s="476">
        <f>U60</f>
        <v>24965</v>
      </c>
      <c r="Z7" s="880">
        <f>U59</f>
        <v>19507</v>
      </c>
      <c r="AA7" s="885">
        <f>R59</f>
        <v>15</v>
      </c>
      <c r="AB7" s="880">
        <f>U59*(U58+AA7)</f>
        <v>1072885</v>
      </c>
      <c r="AC7" s="43">
        <f>60/(R59+U58)</f>
        <v>1.0909090909090908</v>
      </c>
      <c r="AD7" s="43">
        <f t="shared" si="0"/>
        <v>1197654</v>
      </c>
      <c r="AE7" s="62">
        <f>60/S58</f>
        <v>1.3043478260869565</v>
      </c>
      <c r="AF7" s="7">
        <f>INT($U$14*AF13)</f>
        <v>164517</v>
      </c>
      <c r="AG7" s="43">
        <f>INT($U$22*AG13)</f>
        <v>91872</v>
      </c>
      <c r="AH7" s="44">
        <f t="shared" si="1"/>
        <v>19110</v>
      </c>
    </row>
    <row r="8" spans="2:34" ht="13.5">
      <c r="B8" s="7" t="s">
        <v>774</v>
      </c>
      <c r="C8" s="43"/>
      <c r="D8" s="9">
        <v>1</v>
      </c>
      <c r="E8" s="42" t="s">
        <v>248</v>
      </c>
      <c r="F8" s="8">
        <v>2</v>
      </c>
      <c r="G8" s="8"/>
      <c r="H8" s="8"/>
      <c r="I8" s="8"/>
      <c r="J8" s="8"/>
      <c r="K8" s="9"/>
      <c r="N8" s="1415" t="s">
        <v>872</v>
      </c>
      <c r="O8" s="1416"/>
      <c r="P8" s="41">
        <f>IF(D10=0,0,(10+D10)*(1+D24*0.05))</f>
        <v>60</v>
      </c>
      <c r="Q8" s="7" t="s">
        <v>282</v>
      </c>
      <c r="R8" s="43"/>
      <c r="S8" s="511">
        <f>S7*P9</f>
        <v>1.4000000000000001</v>
      </c>
      <c r="T8" s="1671">
        <f>(P8/P7)*S9</f>
        <v>0.23333333333333334</v>
      </c>
      <c r="U8" s="1672"/>
      <c r="W8" s="7" t="s">
        <v>657</v>
      </c>
      <c r="X8" s="512"/>
      <c r="Y8" s="476">
        <f>U67</f>
        <v>65127</v>
      </c>
      <c r="Z8" s="881">
        <f>U66</f>
        <v>9753</v>
      </c>
      <c r="AA8" s="886">
        <f>R66</f>
        <v>10</v>
      </c>
      <c r="AB8" s="880">
        <f>Z8*U65*AA8</f>
        <v>78024</v>
      </c>
      <c r="AC8" s="43">
        <f>60/R66</f>
        <v>6</v>
      </c>
      <c r="AD8" s="43">
        <f t="shared" si="0"/>
        <v>858906</v>
      </c>
      <c r="AE8" s="62">
        <f>AE4</f>
        <v>0.7228915662650602</v>
      </c>
      <c r="AF8" s="7">
        <f>INT($U$14*AF14)</f>
        <v>501480</v>
      </c>
      <c r="AG8" s="43">
        <f>INT($U$22*AG14)</f>
        <v>280044</v>
      </c>
      <c r="AH8" s="44">
        <f t="shared" si="1"/>
        <v>58252</v>
      </c>
    </row>
    <row r="9" spans="2:34" ht="14.25" thickBot="1">
      <c r="B9" s="5" t="s">
        <v>555</v>
      </c>
      <c r="C9" s="68"/>
      <c r="D9" s="279">
        <v>30</v>
      </c>
      <c r="E9" s="42" t="s">
        <v>249</v>
      </c>
      <c r="F9" s="8"/>
      <c r="G9" s="8">
        <v>7</v>
      </c>
      <c r="H9" s="8">
        <v>7</v>
      </c>
      <c r="I9" s="8">
        <v>7</v>
      </c>
      <c r="J9" s="8">
        <v>7</v>
      </c>
      <c r="K9" s="9"/>
      <c r="N9" s="1505" t="s">
        <v>283</v>
      </c>
      <c r="O9" s="1506"/>
      <c r="P9" s="16">
        <f>MAX(INT(P8/4)-1,0)</f>
        <v>14</v>
      </c>
      <c r="Q9" s="14" t="s">
        <v>284</v>
      </c>
      <c r="R9" s="15"/>
      <c r="S9" s="28">
        <f>S8/2</f>
        <v>0.7000000000000001</v>
      </c>
      <c r="T9" s="1673"/>
      <c r="U9" s="1674"/>
      <c r="W9" s="14" t="s">
        <v>658</v>
      </c>
      <c r="X9" s="501"/>
      <c r="Y9" s="878">
        <f>U74</f>
        <v>30392</v>
      </c>
      <c r="Z9" s="882">
        <f>U73</f>
        <v>6502</v>
      </c>
      <c r="AA9" s="887">
        <f>R73</f>
        <v>10</v>
      </c>
      <c r="AB9" s="883">
        <f>U73*AA9</f>
        <v>65020</v>
      </c>
      <c r="AC9" s="15">
        <f>60/R73</f>
        <v>6</v>
      </c>
      <c r="AD9" s="15">
        <f t="shared" si="0"/>
        <v>572472</v>
      </c>
      <c r="AE9" s="46">
        <f>AE5</f>
        <v>0.7228915662650602</v>
      </c>
      <c r="AF9" s="14">
        <f>INT($U$14*AF15)</f>
        <v>501480</v>
      </c>
      <c r="AG9" s="15">
        <f>INT($U$22*AG15)</f>
        <v>280044</v>
      </c>
      <c r="AH9" s="16">
        <f t="shared" si="1"/>
        <v>58252</v>
      </c>
    </row>
    <row r="10" spans="1:35" ht="14.25" thickBot="1">
      <c r="A10" s="402" t="b">
        <v>1</v>
      </c>
      <c r="B10" s="36" t="s">
        <v>293</v>
      </c>
      <c r="C10" s="605"/>
      <c r="D10" s="137">
        <v>30</v>
      </c>
      <c r="E10" s="42" t="s">
        <v>250</v>
      </c>
      <c r="F10" s="8">
        <v>16</v>
      </c>
      <c r="G10" s="8"/>
      <c r="H10" s="8"/>
      <c r="I10" s="8">
        <v>9</v>
      </c>
      <c r="J10" s="8"/>
      <c r="K10" s="9">
        <v>1</v>
      </c>
      <c r="T10" s="402">
        <f>IF(A11="true",1+T8,1)</f>
        <v>1.2333333333333334</v>
      </c>
      <c r="W10" s="402" t="b">
        <v>0</v>
      </c>
      <c r="X10" s="486" t="str">
        <f aca="true" t="shared" si="2" ref="X10:X15">IF(W10=TRUE,"TRUE",IF(X4=1,"TRUE","FLASE"))</f>
        <v>FLASE</v>
      </c>
      <c r="AE10" s="402"/>
      <c r="AF10" s="402">
        <f>AE4/$AE$4*$AC$4</f>
        <v>12</v>
      </c>
      <c r="AG10" s="402">
        <f aca="true" t="shared" si="3" ref="AG10:AG15">AE4/$AE$5*AC4</f>
        <v>12</v>
      </c>
      <c r="AH10" s="402">
        <f aca="true" t="shared" si="4" ref="AH10:AH15">AE4/$AI$10*AC4</f>
        <v>4.626506024096386</v>
      </c>
      <c r="AI10" s="402">
        <f>60/U28</f>
        <v>1.875</v>
      </c>
    </row>
    <row r="11" spans="1:35" ht="14.25" thickBot="1">
      <c r="A11" s="402" t="str">
        <f>IF(A10=TRUE,"TRUE",IF(D11=1,"TRUE","FLASE"))</f>
        <v>TRUE</v>
      </c>
      <c r="B11" s="5" t="s">
        <v>1099</v>
      </c>
      <c r="C11" s="68"/>
      <c r="D11" s="592"/>
      <c r="E11" s="42" t="s">
        <v>698</v>
      </c>
      <c r="F11" s="8"/>
      <c r="G11" s="8"/>
      <c r="H11" s="8"/>
      <c r="I11" s="8">
        <v>22</v>
      </c>
      <c r="J11" s="8"/>
      <c r="K11" s="9"/>
      <c r="N11" s="1158" t="s">
        <v>556</v>
      </c>
      <c r="O11" s="1159"/>
      <c r="P11" s="1159"/>
      <c r="Q11" s="1159"/>
      <c r="R11" s="1159"/>
      <c r="S11" s="1159"/>
      <c r="T11" s="1159"/>
      <c r="U11" s="1160"/>
      <c r="W11" s="402" t="b">
        <v>1</v>
      </c>
      <c r="X11" s="486" t="str">
        <f>IF(W11=TRUE,"TRUE",IF(X5=1,"TRUE","FLASE"))</f>
        <v>TRUE</v>
      </c>
      <c r="AE11" s="402"/>
      <c r="AF11" s="402">
        <f>AE5/$AE$4*AC5</f>
        <v>6</v>
      </c>
      <c r="AG11" s="402">
        <f t="shared" si="3"/>
        <v>6</v>
      </c>
      <c r="AH11" s="402">
        <f>AE5/$AI$10*AC5</f>
        <v>2.313253012048193</v>
      </c>
      <c r="AI11" s="402"/>
    </row>
    <row r="12" spans="2:35" ht="14.25" thickBot="1">
      <c r="B12" s="36" t="s">
        <v>645</v>
      </c>
      <c r="C12" s="3"/>
      <c r="D12" s="137">
        <v>20</v>
      </c>
      <c r="E12" s="42" t="s">
        <v>587</v>
      </c>
      <c r="F12" s="8"/>
      <c r="G12" s="8"/>
      <c r="H12" s="8"/>
      <c r="I12" s="8"/>
      <c r="J12" s="8"/>
      <c r="K12" s="9"/>
      <c r="N12" s="142" t="s">
        <v>519</v>
      </c>
      <c r="O12" s="65">
        <f>D5</f>
        <v>30</v>
      </c>
      <c r="P12" s="89" t="s">
        <v>301</v>
      </c>
      <c r="Q12" s="600">
        <f>(650+4*O12)/100</f>
        <v>7.7</v>
      </c>
      <c r="S12" s="1668" t="s">
        <v>415</v>
      </c>
      <c r="T12" s="1688"/>
      <c r="U12" s="219">
        <v>83</v>
      </c>
      <c r="W12" s="402" t="b">
        <v>0</v>
      </c>
      <c r="X12" s="486" t="str">
        <f t="shared" si="2"/>
        <v>FLASE</v>
      </c>
      <c r="AE12" s="402"/>
      <c r="AF12" s="402">
        <f>AE6/$AE$4*AC6</f>
        <v>5.533333333333333</v>
      </c>
      <c r="AG12" s="402">
        <f t="shared" si="3"/>
        <v>5.533333333333333</v>
      </c>
      <c r="AH12" s="402">
        <f t="shared" si="4"/>
        <v>2.1333333333333333</v>
      </c>
      <c r="AI12" s="402"/>
    </row>
    <row r="13" spans="2:35" ht="14.25" thickBot="1">
      <c r="B13" s="39" t="s">
        <v>646</v>
      </c>
      <c r="C13" s="43"/>
      <c r="D13" s="9">
        <v>20</v>
      </c>
      <c r="E13" s="42" t="s">
        <v>697</v>
      </c>
      <c r="F13" s="8"/>
      <c r="G13" s="8"/>
      <c r="H13" s="8"/>
      <c r="I13" s="8"/>
      <c r="J13" s="8"/>
      <c r="K13" s="9"/>
      <c r="N13" s="1305" t="s">
        <v>552</v>
      </c>
      <c r="O13" s="1691"/>
      <c r="P13" s="689">
        <f>(80+2*O12)/100</f>
        <v>1.4</v>
      </c>
      <c r="Q13" s="17" t="s">
        <v>1241</v>
      </c>
      <c r="R13" s="83">
        <f>3+INT(O12/15)</f>
        <v>5</v>
      </c>
      <c r="S13" s="1305" t="s">
        <v>551</v>
      </c>
      <c r="T13" s="1306"/>
      <c r="U13" s="677">
        <f>INT(P4*P13*O5*IF($L$21="true",1.5,1))</f>
        <v>15172</v>
      </c>
      <c r="W13" s="402" t="b">
        <v>1</v>
      </c>
      <c r="X13" s="486" t="str">
        <f t="shared" si="2"/>
        <v>TRUE</v>
      </c>
      <c r="AE13" s="402"/>
      <c r="AF13" s="402">
        <f>AE7/$AE$4*AC7</f>
        <v>1.9683794466403162</v>
      </c>
      <c r="AG13" s="402">
        <f t="shared" si="3"/>
        <v>1.9683794466403162</v>
      </c>
      <c r="AH13" s="402">
        <f t="shared" si="4"/>
        <v>0.758893280632411</v>
      </c>
      <c r="AI13" s="402"/>
    </row>
    <row r="14" spans="2:35" ht="13.5" customHeight="1" thickBot="1">
      <c r="B14" s="982" t="s">
        <v>647</v>
      </c>
      <c r="C14" s="68"/>
      <c r="D14" s="279">
        <v>20</v>
      </c>
      <c r="E14" s="42" t="s">
        <v>260</v>
      </c>
      <c r="F14" s="8"/>
      <c r="G14" s="8"/>
      <c r="H14" s="8"/>
      <c r="I14" s="8">
        <v>5</v>
      </c>
      <c r="J14" s="8"/>
      <c r="K14" s="9"/>
      <c r="N14" s="1227" t="str">
        <f>IF($L$21="true","毒弱点","通常")</f>
        <v>通常</v>
      </c>
      <c r="O14" s="76" t="s">
        <v>257</v>
      </c>
      <c r="P14" s="521">
        <f>MIN(INT(($R$4*Q12)*(1+$B$34+$E$34+$B$52+$K$35)*$D$26*$O$5*IF($L$21="true",1.5,1)),ReadMe!$M$99)</f>
        <v>70408</v>
      </c>
      <c r="Q14" s="1234" t="s">
        <v>725</v>
      </c>
      <c r="R14" s="186" t="s">
        <v>257</v>
      </c>
      <c r="S14" s="155">
        <f>MIN(INT(P14*$E$41),ReadMe!$M$99)</f>
        <v>84489</v>
      </c>
      <c r="T14" s="1564" t="s">
        <v>323</v>
      </c>
      <c r="U14" s="1556">
        <f>INT(P15*(1-$G$41)+S15*$G$41)</f>
        <v>83580</v>
      </c>
      <c r="W14" s="402" t="b">
        <v>1</v>
      </c>
      <c r="X14" s="486" t="str">
        <f t="shared" si="2"/>
        <v>TRUE</v>
      </c>
      <c r="Y14" s="229"/>
      <c r="Z14" s="229"/>
      <c r="AA14" s="229"/>
      <c r="AE14" s="402"/>
      <c r="AF14" s="402">
        <f>AE8/$AE$4*AC8</f>
        <v>6</v>
      </c>
      <c r="AG14" s="402">
        <f t="shared" si="3"/>
        <v>6</v>
      </c>
      <c r="AH14" s="402">
        <f t="shared" si="4"/>
        <v>2.313253012048193</v>
      </c>
      <c r="AI14" s="402"/>
    </row>
    <row r="15" spans="2:35" ht="14.25" thickBot="1">
      <c r="B15" s="218"/>
      <c r="C15" s="397"/>
      <c r="D15" s="219"/>
      <c r="E15" s="42" t="s">
        <v>261</v>
      </c>
      <c r="F15" s="8">
        <v>8</v>
      </c>
      <c r="G15" s="8"/>
      <c r="H15" s="8"/>
      <c r="I15" s="8">
        <v>8</v>
      </c>
      <c r="J15" s="8"/>
      <c r="K15" s="9"/>
      <c r="N15" s="1228"/>
      <c r="O15" s="43" t="s">
        <v>258</v>
      </c>
      <c r="P15" s="522">
        <f>INT((P14+P16)/2)</f>
        <v>82143</v>
      </c>
      <c r="Q15" s="1235"/>
      <c r="R15" s="79" t="s">
        <v>258</v>
      </c>
      <c r="S15" s="156">
        <f>MIN(INT(P15*(($E$41+$F$41)/2)),ReadMe!$M$99)</f>
        <v>110893</v>
      </c>
      <c r="T15" s="1565"/>
      <c r="U15" s="1557"/>
      <c r="W15" s="402" t="b">
        <v>1</v>
      </c>
      <c r="X15" s="486" t="str">
        <f t="shared" si="2"/>
        <v>TRUE</v>
      </c>
      <c r="Y15" s="229"/>
      <c r="Z15" s="229"/>
      <c r="AA15" s="229"/>
      <c r="AE15" s="402"/>
      <c r="AF15" s="402">
        <f>AE9/$AE$4*AC9</f>
        <v>6</v>
      </c>
      <c r="AG15" s="402">
        <f t="shared" si="3"/>
        <v>6</v>
      </c>
      <c r="AH15" s="402">
        <f t="shared" si="4"/>
        <v>2.313253012048193</v>
      </c>
      <c r="AI15" s="402"/>
    </row>
    <row r="16" spans="2:27" ht="14.25" thickBot="1">
      <c r="B16" s="22"/>
      <c r="C16" s="21"/>
      <c r="D16" s="138"/>
      <c r="E16" s="42" t="s">
        <v>262</v>
      </c>
      <c r="F16" s="8">
        <v>5</v>
      </c>
      <c r="G16" s="8"/>
      <c r="H16" s="8"/>
      <c r="I16" s="8">
        <v>8</v>
      </c>
      <c r="J16" s="8"/>
      <c r="K16" s="9"/>
      <c r="N16" s="1229"/>
      <c r="O16" s="15" t="s">
        <v>259</v>
      </c>
      <c r="P16" s="523">
        <f>MIN(INT(($T$4*Q12)*(1+$B$34+$E$34+$B$52+$K$35)*$D$26*$O$5*IF($L$21="true",1.5,1)),ReadMe!$M$99)</f>
        <v>93878</v>
      </c>
      <c r="Q16" s="1236"/>
      <c r="R16" s="86" t="s">
        <v>259</v>
      </c>
      <c r="S16" s="157">
        <f>MIN(INT(P16*$F$41),ReadMe!$M$99)</f>
        <v>140817</v>
      </c>
      <c r="T16" s="1565"/>
      <c r="U16" s="1557"/>
      <c r="W16" s="1662" t="s">
        <v>667</v>
      </c>
      <c r="X16" s="1663"/>
      <c r="Y16" s="1615"/>
      <c r="Z16" s="1359" t="s">
        <v>695</v>
      </c>
      <c r="AA16" s="1361"/>
    </row>
    <row r="17" spans="2:27" ht="14.25" thickBot="1">
      <c r="B17" s="136"/>
      <c r="C17" s="57"/>
      <c r="D17" s="139"/>
      <c r="E17" s="42" t="s">
        <v>5</v>
      </c>
      <c r="F17" s="8"/>
      <c r="G17" s="8">
        <v>3</v>
      </c>
      <c r="H17" s="8">
        <v>3</v>
      </c>
      <c r="I17" s="8">
        <v>3</v>
      </c>
      <c r="J17" s="8">
        <v>3</v>
      </c>
      <c r="K17" s="9"/>
      <c r="N17" s="1342" t="s">
        <v>289</v>
      </c>
      <c r="O17" s="1420"/>
      <c r="P17" s="1420"/>
      <c r="Q17" s="1420"/>
      <c r="R17" s="1420"/>
      <c r="S17" s="1670">
        <f>(U14*U12*$T$10+IF($A$21="true",$S$41,0)+U13*60)*$G$47</f>
        <v>12679008.666666668</v>
      </c>
      <c r="T17" s="1478"/>
      <c r="U17" s="1479"/>
      <c r="W17" s="1477">
        <f>S17+IF(X11="true",AD5-AF5,0)+IF(X12="true",AD6-AF6,0)+IF(X13="true",AD7-AF7,0)+IF(X14="true",AD8-AF8,0)+IF(X15="true",AD9-AF9,0)</f>
        <v>14634387.666666668</v>
      </c>
      <c r="X17" s="1478"/>
      <c r="Y17" s="1479"/>
      <c r="Z17" s="1667">
        <f>INT(W17-U14*$P$52)+$O$54*$S$52*$G$47</f>
        <v>15740945</v>
      </c>
      <c r="AA17" s="1171"/>
    </row>
    <row r="18" spans="2:11" ht="14.25" thickBot="1">
      <c r="B18" s="47"/>
      <c r="C18" s="491"/>
      <c r="D18" s="220"/>
      <c r="E18" s="42" t="s">
        <v>5</v>
      </c>
      <c r="F18" s="8">
        <v>1</v>
      </c>
      <c r="G18" s="8">
        <v>1</v>
      </c>
      <c r="H18" s="8">
        <v>1</v>
      </c>
      <c r="I18" s="8">
        <v>1</v>
      </c>
      <c r="J18" s="8">
        <v>1</v>
      </c>
      <c r="K18" s="9"/>
    </row>
    <row r="19" spans="2:21" ht="14.25" thickBot="1">
      <c r="B19" s="311" t="s">
        <v>59</v>
      </c>
      <c r="C19" s="312"/>
      <c r="D19" s="691"/>
      <c r="E19" s="42" t="s">
        <v>5</v>
      </c>
      <c r="F19" s="8">
        <v>1</v>
      </c>
      <c r="G19" s="8">
        <v>1</v>
      </c>
      <c r="H19" s="8">
        <v>1</v>
      </c>
      <c r="I19" s="8">
        <v>1</v>
      </c>
      <c r="J19" s="8">
        <v>1</v>
      </c>
      <c r="K19" s="9"/>
      <c r="N19" s="1158" t="s">
        <v>530</v>
      </c>
      <c r="O19" s="1159"/>
      <c r="P19" s="1159"/>
      <c r="Q19" s="1159"/>
      <c r="R19" s="1159"/>
      <c r="S19" s="1159"/>
      <c r="T19" s="1159"/>
      <c r="U19" s="1160"/>
    </row>
    <row r="20" spans="1:21" ht="14.25" thickBot="1">
      <c r="A20" s="402" t="b">
        <v>1</v>
      </c>
      <c r="B20" s="311" t="s">
        <v>61</v>
      </c>
      <c r="C20" s="312"/>
      <c r="D20" s="200"/>
      <c r="E20" s="42" t="s">
        <v>5</v>
      </c>
      <c r="F20" s="8"/>
      <c r="G20" s="8"/>
      <c r="H20" s="8"/>
      <c r="I20" s="8"/>
      <c r="J20" s="8"/>
      <c r="K20" s="9"/>
      <c r="N20" s="89" t="s">
        <v>519</v>
      </c>
      <c r="O20" s="90">
        <f>D6</f>
        <v>30</v>
      </c>
      <c r="P20" s="146" t="s">
        <v>301</v>
      </c>
      <c r="Q20" s="600">
        <f>(340+3*O20)/100</f>
        <v>4.3</v>
      </c>
      <c r="S20" s="1344" t="s">
        <v>415</v>
      </c>
      <c r="T20" s="1345"/>
      <c r="U20" s="83">
        <v>83</v>
      </c>
    </row>
    <row r="21" spans="1:21" ht="14.25" thickBot="1">
      <c r="A21" s="402" t="str">
        <f>IF(A20=TRUE,"TRUE",IF(D21=1,"TRUE","FLASE"))</f>
        <v>TRUE</v>
      </c>
      <c r="B21" s="311" t="s">
        <v>60</v>
      </c>
      <c r="C21" s="312"/>
      <c r="D21" s="592"/>
      <c r="E21" s="42" t="s">
        <v>1305</v>
      </c>
      <c r="F21" s="8"/>
      <c r="G21" s="8">
        <v>2</v>
      </c>
      <c r="H21" s="8">
        <v>2</v>
      </c>
      <c r="I21" s="8">
        <v>2</v>
      </c>
      <c r="J21" s="8">
        <v>2</v>
      </c>
      <c r="K21" s="9"/>
      <c r="L21" s="486" t="str">
        <f>IF(A22=TRUE,"TRUE",IF(D22=1,"TRUE","FLASE"))</f>
        <v>FLASE</v>
      </c>
      <c r="N21" s="1305" t="s">
        <v>552</v>
      </c>
      <c r="O21" s="1306"/>
      <c r="P21" s="679">
        <f>(50+2*O20)/100</f>
        <v>1.1</v>
      </c>
      <c r="Q21" s="17" t="s">
        <v>1241</v>
      </c>
      <c r="R21" s="83">
        <f>5+INT(O20/6)</f>
        <v>10</v>
      </c>
      <c r="S21" s="1305" t="s">
        <v>551</v>
      </c>
      <c r="T21" s="1306"/>
      <c r="U21" s="677">
        <f>INT(P4*P21*N5*IF($L$22="true",1.5,1))</f>
        <v>11921</v>
      </c>
    </row>
    <row r="22" spans="1:27" ht="13.5">
      <c r="A22" s="402" t="b">
        <v>0</v>
      </c>
      <c r="B22" s="1380" t="s">
        <v>190</v>
      </c>
      <c r="C22" s="1381"/>
      <c r="D22" s="696"/>
      <c r="E22" s="42" t="s">
        <v>1307</v>
      </c>
      <c r="F22" s="8"/>
      <c r="G22" s="8">
        <v>3</v>
      </c>
      <c r="H22" s="8">
        <v>3</v>
      </c>
      <c r="I22" s="8">
        <v>3</v>
      </c>
      <c r="J22" s="8">
        <v>3</v>
      </c>
      <c r="K22" s="9"/>
      <c r="L22" s="486" t="str">
        <f>IF(A23=TRUE,"TRUE",IF(D23=1,"TRUE","FLASE"))</f>
        <v>FLASE</v>
      </c>
      <c r="N22" s="1227" t="str">
        <f>IF($L$22="true","火弱点","通常")</f>
        <v>通常</v>
      </c>
      <c r="O22" s="76" t="s">
        <v>257</v>
      </c>
      <c r="P22" s="521">
        <f>MIN(INT(($R$4*Q20)*(1+$B$34+$E$34+$B$52+$K$35)*$D$26*$N$5*IF($L$22="true",1.5,1)),ReadMe!$M$99)</f>
        <v>39319</v>
      </c>
      <c r="Q22" s="1234" t="s">
        <v>725</v>
      </c>
      <c r="R22" s="186" t="s">
        <v>257</v>
      </c>
      <c r="S22" s="155">
        <f>MIN(INT(P22*$E$41),ReadMe!$M$99)</f>
        <v>47182</v>
      </c>
      <c r="T22" s="1564" t="s">
        <v>323</v>
      </c>
      <c r="U22" s="1556">
        <f>INT(P23*(1-$G$41)+S23*$G$41)</f>
        <v>46674</v>
      </c>
      <c r="Z22" s="21"/>
      <c r="AA22" s="21"/>
    </row>
    <row r="23" spans="1:27" ht="14.25" thickBot="1">
      <c r="A23" s="402" t="b">
        <v>0</v>
      </c>
      <c r="B23" s="1689" t="s">
        <v>191</v>
      </c>
      <c r="C23" s="1690"/>
      <c r="D23" s="501"/>
      <c r="E23" s="42" t="s">
        <v>181</v>
      </c>
      <c r="F23" s="8"/>
      <c r="G23" s="8"/>
      <c r="H23" s="8"/>
      <c r="I23" s="8"/>
      <c r="J23" s="8"/>
      <c r="K23" s="9"/>
      <c r="N23" s="1228"/>
      <c r="O23" s="43" t="s">
        <v>258</v>
      </c>
      <c r="P23" s="522">
        <f>INT((P22+P24)/2)</f>
        <v>45872</v>
      </c>
      <c r="Q23" s="1235"/>
      <c r="R23" s="79" t="s">
        <v>258</v>
      </c>
      <c r="S23" s="156">
        <f>MIN(INT(P23*(($E$41+$F$41)/2)),ReadMe!$M$99)</f>
        <v>61927</v>
      </c>
      <c r="T23" s="1565"/>
      <c r="U23" s="1557"/>
      <c r="Z23" s="21"/>
      <c r="AA23" s="21"/>
    </row>
    <row r="24" spans="2:27" ht="14.25" thickBot="1">
      <c r="B24" s="603" t="s">
        <v>557</v>
      </c>
      <c r="C24" s="604"/>
      <c r="D24" s="356">
        <v>10</v>
      </c>
      <c r="E24" s="7" t="s">
        <v>13</v>
      </c>
      <c r="F24" s="8"/>
      <c r="G24" s="8"/>
      <c r="H24" s="8"/>
      <c r="I24" s="8"/>
      <c r="J24" s="8"/>
      <c r="K24" s="9"/>
      <c r="N24" s="1229"/>
      <c r="O24" s="15" t="s">
        <v>259</v>
      </c>
      <c r="P24" s="523">
        <f>MIN(INT(($T$4*Q20)*(1+$B$34+$E$34+$B$52+$K$35)*$D$26*$N$5*IF($L$22="true",1.5,1)),ReadMe!$M$99)</f>
        <v>52425</v>
      </c>
      <c r="Q24" s="1236"/>
      <c r="R24" s="86" t="s">
        <v>259</v>
      </c>
      <c r="S24" s="157">
        <f>MIN(INT(P24*$F$41),ReadMe!$M$99)</f>
        <v>78637</v>
      </c>
      <c r="T24" s="1565"/>
      <c r="U24" s="1557"/>
      <c r="W24" s="1662" t="s">
        <v>667</v>
      </c>
      <c r="X24" s="1663"/>
      <c r="Y24" s="1615"/>
      <c r="Z24" s="1359" t="s">
        <v>695</v>
      </c>
      <c r="AA24" s="1361"/>
    </row>
    <row r="25" spans="2:27" ht="14.25" customHeight="1" thickBot="1">
      <c r="B25" s="308" t="s">
        <v>163</v>
      </c>
      <c r="C25" s="551"/>
      <c r="D25" s="20">
        <v>20</v>
      </c>
      <c r="E25" s="7" t="s">
        <v>1153</v>
      </c>
      <c r="F25" s="8">
        <v>20</v>
      </c>
      <c r="G25" s="8"/>
      <c r="H25" s="8"/>
      <c r="I25" s="8"/>
      <c r="J25" s="8"/>
      <c r="K25" s="9"/>
      <c r="N25" s="1342" t="s">
        <v>289</v>
      </c>
      <c r="O25" s="1420"/>
      <c r="P25" s="1420"/>
      <c r="Q25" s="1420"/>
      <c r="R25" s="1420"/>
      <c r="S25" s="1670">
        <f>(U22*U20*$T$10+U21*60+IF($A$21="true",$S$41,0))*$G$47</f>
        <v>8706004.466666667</v>
      </c>
      <c r="T25" s="1478"/>
      <c r="U25" s="1479"/>
      <c r="W25" s="1664">
        <f>S25+IF(X10="true",AD4-AG4,0)+IF(X12="true",AD6-AG6,0)+IF(X13="true",AD7-AG7,0)+IF(X14="true",AD8-AG8,0)+IF(X15="true",AD9-AG9,0)</f>
        <v>10683076.466666667</v>
      </c>
      <c r="X25" s="1665"/>
      <c r="Y25" s="1666"/>
      <c r="Z25" s="1487">
        <f>INT(W25-U22*$P$52)+$O$54*$S$52*$G$47</f>
        <v>11803473</v>
      </c>
      <c r="AA25" s="1528"/>
    </row>
    <row r="26" spans="2:11" ht="14.25" thickBot="1">
      <c r="B26" s="53" t="s">
        <v>302</v>
      </c>
      <c r="C26" s="559"/>
      <c r="D26" s="578">
        <f>(110+2*D25)/100</f>
        <v>1.5</v>
      </c>
      <c r="E26" s="7" t="s">
        <v>714</v>
      </c>
      <c r="F26" s="8"/>
      <c r="G26" s="8"/>
      <c r="H26" s="8"/>
      <c r="I26" s="8"/>
      <c r="J26" s="8"/>
      <c r="K26" s="9"/>
    </row>
    <row r="27" spans="2:27" ht="14.25" thickBot="1">
      <c r="B27" s="1428" t="s">
        <v>511</v>
      </c>
      <c r="C27" s="1429"/>
      <c r="D27" s="20">
        <v>9</v>
      </c>
      <c r="E27" s="216" t="s">
        <v>1310</v>
      </c>
      <c r="F27" s="8"/>
      <c r="G27" s="40">
        <f>ROUNDDOWN(G3*D28%,0)</f>
        <v>0</v>
      </c>
      <c r="H27" s="40">
        <f>ROUNDDOWN(H3*D28%,0)</f>
        <v>0</v>
      </c>
      <c r="I27" s="40">
        <f>ROUNDDOWN(I3*D28%,0)</f>
        <v>38</v>
      </c>
      <c r="J27" s="40">
        <f>ROUNDDOWN(J3*D28%,0)</f>
        <v>0</v>
      </c>
      <c r="K27" s="9">
        <f>SUM(K2:K25)+D28</f>
        <v>6</v>
      </c>
      <c r="N27" s="1158" t="s">
        <v>773</v>
      </c>
      <c r="O27" s="1159"/>
      <c r="P27" s="1159"/>
      <c r="Q27" s="1159"/>
      <c r="R27" s="1159"/>
      <c r="S27" s="1159"/>
      <c r="T27" s="1159"/>
      <c r="U27" s="1160"/>
      <c r="V27" s="96"/>
      <c r="Z27" s="190"/>
      <c r="AA27" s="190"/>
    </row>
    <row r="28" spans="2:27" ht="14.25" thickBot="1">
      <c r="B28" s="14" t="s">
        <v>263</v>
      </c>
      <c r="C28" s="538"/>
      <c r="D28" s="46">
        <f>ROUNDUP(D27/2,0)</f>
        <v>5</v>
      </c>
      <c r="E28" s="7" t="s">
        <v>264</v>
      </c>
      <c r="F28" s="43">
        <f>D29+3*D24+10</f>
        <v>40</v>
      </c>
      <c r="G28" s="43">
        <f>SUM(G4:G26)</f>
        <v>27</v>
      </c>
      <c r="H28" s="43">
        <f>SUM(H4:H26)</f>
        <v>27</v>
      </c>
      <c r="I28" s="43">
        <f>SUM(I4:I26)</f>
        <v>105</v>
      </c>
      <c r="J28" s="43">
        <f>SUM(J4:J26)</f>
        <v>27</v>
      </c>
      <c r="K28" s="588">
        <f>SUM(K3:K27)+D33</f>
        <v>7</v>
      </c>
      <c r="N28" s="147" t="s">
        <v>519</v>
      </c>
      <c r="O28" s="148">
        <f>D8</f>
        <v>1</v>
      </c>
      <c r="P28" s="147" t="s">
        <v>301</v>
      </c>
      <c r="Q28" s="598">
        <f>(230+2*O28)/100</f>
        <v>2.32</v>
      </c>
      <c r="R28" s="201" t="s">
        <v>800</v>
      </c>
      <c r="S28" s="202">
        <v>1</v>
      </c>
      <c r="T28" s="483" t="s">
        <v>1272</v>
      </c>
      <c r="U28" s="484">
        <v>32</v>
      </c>
      <c r="V28" s="21"/>
      <c r="Z28" s="21"/>
      <c r="AA28" s="21"/>
    </row>
    <row r="29" spans="2:27" ht="14.25" thickBot="1">
      <c r="B29" s="17" t="s">
        <v>1378</v>
      </c>
      <c r="C29" s="195"/>
      <c r="D29" s="18">
        <v>0</v>
      </c>
      <c r="E29" s="14" t="s">
        <v>256</v>
      </c>
      <c r="F29" s="48">
        <f>SUM(F4:F28)</f>
        <v>271</v>
      </c>
      <c r="G29" s="48">
        <f>INT((G3+G27+G28)*(1+G32))</f>
        <v>31</v>
      </c>
      <c r="H29" s="48">
        <f>INT((H3+H27+H28)*(1+H32))</f>
        <v>31</v>
      </c>
      <c r="I29" s="48">
        <f>INT((I3+I27+I28)*(1+I32))</f>
        <v>992</v>
      </c>
      <c r="J29" s="48">
        <f>INT((J3+J27+J28)*(1+J32))</f>
        <v>31</v>
      </c>
      <c r="K29" s="547">
        <f>($H$29*0.4+$J$29*0.8+$I$29*1.6+K28)*(1+$K$32)</f>
        <v>1631.4</v>
      </c>
      <c r="N29" s="1227" t="str">
        <f>IF($L$22="true","火弱点","通常")</f>
        <v>通常</v>
      </c>
      <c r="O29" s="76" t="s">
        <v>257</v>
      </c>
      <c r="P29" s="521">
        <f>MIN(INT(($R$4*Q28)*(1+$B$34+$E$34+$B$52+$K$35)*$D$26*$N$5*IF($L$22="true",1.5,1)),ReadMe!$M$99)</f>
        <v>21213</v>
      </c>
      <c r="Q29" s="1234" t="s">
        <v>725</v>
      </c>
      <c r="R29" s="186" t="s">
        <v>257</v>
      </c>
      <c r="S29" s="155">
        <f>MIN(INT(P29*$E$41),ReadMe!$M$99)</f>
        <v>25455</v>
      </c>
      <c r="T29" s="1564" t="s">
        <v>323</v>
      </c>
      <c r="U29" s="1556">
        <f>INT(P30*(1-$G$41)+S30*$G$41)</f>
        <v>25182</v>
      </c>
      <c r="Z29" s="21"/>
      <c r="AA29" s="21"/>
    </row>
    <row r="30" spans="2:27" ht="14.25" thickBot="1">
      <c r="B30" s="1342" t="s">
        <v>981</v>
      </c>
      <c r="C30" s="1420"/>
      <c r="D30" s="1420"/>
      <c r="E30" s="1420"/>
      <c r="F30" s="1420"/>
      <c r="G30" s="1420"/>
      <c r="H30" s="1420"/>
      <c r="I30" s="1420"/>
      <c r="J30" s="1420"/>
      <c r="K30" s="1421"/>
      <c r="N30" s="1228"/>
      <c r="O30" s="43" t="s">
        <v>258</v>
      </c>
      <c r="P30" s="522">
        <f>INT((P29+P31)/2)</f>
        <v>24749</v>
      </c>
      <c r="Q30" s="1235"/>
      <c r="R30" s="79" t="s">
        <v>258</v>
      </c>
      <c r="S30" s="156">
        <f>MIN(INT(P30*(($E$41+$F$41)/2)),ReadMe!$M$99)</f>
        <v>33411</v>
      </c>
      <c r="T30" s="1565"/>
      <c r="U30" s="1557"/>
      <c r="Z30" s="21"/>
      <c r="AA30" s="21"/>
    </row>
    <row r="31" spans="2:27" ht="14.25" thickBot="1">
      <c r="B31" s="1218" t="s">
        <v>762</v>
      </c>
      <c r="C31" s="1219"/>
      <c r="D31" s="1220"/>
      <c r="E31" s="1308" t="s">
        <v>1218</v>
      </c>
      <c r="F31" s="1309"/>
      <c r="G31" s="1" t="s">
        <v>986</v>
      </c>
      <c r="H31" s="3" t="s">
        <v>985</v>
      </c>
      <c r="I31" s="3" t="s">
        <v>984</v>
      </c>
      <c r="J31" s="3" t="s">
        <v>983</v>
      </c>
      <c r="K31" s="4" t="s">
        <v>987</v>
      </c>
      <c r="N31" s="1229"/>
      <c r="O31" s="15" t="s">
        <v>259</v>
      </c>
      <c r="P31" s="523">
        <f>MIN(INT(($T$4*Q28)*(1+$B$34+$E$34+$B$52+$K$35)*$D$26*$N$5*IF($L$22="true",1.5,1)),ReadMe!$M$99)</f>
        <v>28285</v>
      </c>
      <c r="Q31" s="1236"/>
      <c r="R31" s="86" t="s">
        <v>259</v>
      </c>
      <c r="S31" s="157">
        <f>MIN(INT(P31*$F$41),ReadMe!$M$99)</f>
        <v>42427</v>
      </c>
      <c r="T31" s="1565"/>
      <c r="U31" s="1557"/>
      <c r="Z31" s="57"/>
      <c r="AA31" s="57"/>
    </row>
    <row r="32" spans="2:27" ht="14.25" thickBot="1">
      <c r="B32" s="1210">
        <v>0</v>
      </c>
      <c r="C32" s="1211"/>
      <c r="D32" s="1212"/>
      <c r="E32" s="1130">
        <v>0</v>
      </c>
      <c r="F32" s="1131"/>
      <c r="G32" s="542">
        <v>0</v>
      </c>
      <c r="H32" s="543">
        <v>0</v>
      </c>
      <c r="I32" s="543">
        <v>0.09</v>
      </c>
      <c r="J32" s="543">
        <v>0</v>
      </c>
      <c r="K32" s="544">
        <v>0</v>
      </c>
      <c r="N32" s="1227" t="s">
        <v>299</v>
      </c>
      <c r="O32" s="84" t="s">
        <v>257</v>
      </c>
      <c r="P32" s="180">
        <f>P29*5</f>
        <v>106065</v>
      </c>
      <c r="Q32" s="1519"/>
      <c r="R32" s="1521"/>
      <c r="S32" s="1679">
        <f>(P33*U28*$T$10+IF($A$21="true",$S$41,0))*$G$47</f>
        <v>8182130.666666667</v>
      </c>
      <c r="T32" s="1680"/>
      <c r="U32" s="1681"/>
      <c r="W32" s="1662" t="s">
        <v>667</v>
      </c>
      <c r="X32" s="1663"/>
      <c r="Y32" s="1615"/>
      <c r="Z32" s="1359" t="s">
        <v>695</v>
      </c>
      <c r="AA32" s="1361"/>
    </row>
    <row r="33" spans="2:27" ht="13.5" customHeight="1" thickBot="1">
      <c r="B33" s="1221" t="s">
        <v>135</v>
      </c>
      <c r="C33" s="1166"/>
      <c r="D33" s="1177"/>
      <c r="E33" s="1261" t="s">
        <v>877</v>
      </c>
      <c r="F33" s="1262"/>
      <c r="N33" s="1228"/>
      <c r="O33" s="173" t="s">
        <v>335</v>
      </c>
      <c r="P33" s="645">
        <f>U29*5</f>
        <v>125910</v>
      </c>
      <c r="Q33" s="557" t="s">
        <v>268</v>
      </c>
      <c r="R33" s="558"/>
      <c r="S33" s="1682"/>
      <c r="T33" s="1683"/>
      <c r="U33" s="1684"/>
      <c r="W33" s="1693">
        <f>S32+IF(X10="true",AD4-AH4,0)+IF(X11="true",AD8-AH5,0)+IF(X12="true",AD6-AH6,0)+IF(X13="true",AD7-AH7,0)+IF(X14="true",AD8-AH8,0)+IF(X15="true",AD9-AH9,0)</f>
        <v>11476202.666666668</v>
      </c>
      <c r="X33" s="1392"/>
      <c r="Y33" s="1393"/>
      <c r="Z33" s="1692">
        <f>INT(W33-U29*$P$52)+$O$54*$S$52*$G$47</f>
        <v>12604659</v>
      </c>
      <c r="AA33" s="1174"/>
    </row>
    <row r="34" spans="2:27" ht="14.25" thickBot="1">
      <c r="B34" s="1210">
        <v>0</v>
      </c>
      <c r="C34" s="1222"/>
      <c r="D34" s="1212"/>
      <c r="E34" s="1130">
        <v>0</v>
      </c>
      <c r="F34" s="1131"/>
      <c r="I34" s="1297" t="s">
        <v>1417</v>
      </c>
      <c r="J34" s="1298"/>
      <c r="K34" s="1299"/>
      <c r="N34" s="1229"/>
      <c r="O34" s="92" t="s">
        <v>259</v>
      </c>
      <c r="P34" s="182">
        <f>S31*5</f>
        <v>212135</v>
      </c>
      <c r="Q34" s="1164" t="s">
        <v>287</v>
      </c>
      <c r="R34" s="1165"/>
      <c r="S34" s="1685"/>
      <c r="T34" s="1686"/>
      <c r="U34" s="1687"/>
      <c r="W34" s="712"/>
      <c r="X34" s="865"/>
      <c r="Y34" s="864"/>
      <c r="Z34" s="712"/>
      <c r="AA34" s="864"/>
    </row>
    <row r="35" spans="9:11" ht="14.25" thickBot="1">
      <c r="I35" s="14" t="s">
        <v>1410</v>
      </c>
      <c r="J35" s="15"/>
      <c r="K35" s="534">
        <v>0</v>
      </c>
    </row>
    <row r="36" spans="2:21" ht="14.25" thickBot="1">
      <c r="B36" s="1280" t="s">
        <v>88</v>
      </c>
      <c r="C36" s="1281"/>
      <c r="D36" s="1281"/>
      <c r="E36" s="503" t="s">
        <v>257</v>
      </c>
      <c r="F36" s="19" t="s">
        <v>259</v>
      </c>
      <c r="G36" s="504" t="s">
        <v>1085</v>
      </c>
      <c r="N36" s="1158" t="s">
        <v>290</v>
      </c>
      <c r="O36" s="1159"/>
      <c r="P36" s="1159"/>
      <c r="Q36" s="1159"/>
      <c r="R36" s="1159"/>
      <c r="S36" s="1159"/>
      <c r="T36" s="1159"/>
      <c r="U36" s="1160"/>
    </row>
    <row r="37" spans="2:21" ht="14.25" thickBot="1">
      <c r="B37" s="1213" t="s">
        <v>90</v>
      </c>
      <c r="C37" s="1214"/>
      <c r="D37" s="1215"/>
      <c r="E37" s="35">
        <v>1.2</v>
      </c>
      <c r="F37" s="507">
        <v>1.5</v>
      </c>
      <c r="G37" s="241">
        <v>0.05</v>
      </c>
      <c r="I37" s="1256" t="s">
        <v>438</v>
      </c>
      <c r="J37" s="1300"/>
      <c r="K37" s="1301"/>
      <c r="N37" s="142" t="s">
        <v>519</v>
      </c>
      <c r="O37" s="65">
        <v>10</v>
      </c>
      <c r="P37" s="142" t="s">
        <v>301</v>
      </c>
      <c r="Q37" s="601">
        <v>3</v>
      </c>
      <c r="R37" s="1668" t="s">
        <v>415</v>
      </c>
      <c r="S37" s="1669"/>
      <c r="T37" s="224">
        <v>80</v>
      </c>
      <c r="U37" s="732" t="s">
        <v>1096</v>
      </c>
    </row>
    <row r="38" spans="2:21" ht="14.25" thickBot="1">
      <c r="B38" s="1228" t="s">
        <v>86</v>
      </c>
      <c r="C38" s="1284"/>
      <c r="D38" s="516">
        <v>0</v>
      </c>
      <c r="E38" s="506"/>
      <c r="F38" s="505">
        <f>D38/100</f>
        <v>0</v>
      </c>
      <c r="G38" s="511">
        <f>IF(D38=0,0,(5+ROUNDUP(D38/2,0))/100)</f>
        <v>0</v>
      </c>
      <c r="I38" s="1256" t="s">
        <v>440</v>
      </c>
      <c r="J38" s="1257"/>
      <c r="K38" s="1258"/>
      <c r="N38" s="1227" t="s">
        <v>327</v>
      </c>
      <c r="O38" s="76" t="s">
        <v>257</v>
      </c>
      <c r="P38" s="521">
        <f>MIN(INT(($R$4*Q37)*(1+$B$34+$E$34+$B$52+$K$35)*$D$26),ReadMe!$M$99)</f>
        <v>27431</v>
      </c>
      <c r="Q38" s="1234" t="s">
        <v>725</v>
      </c>
      <c r="R38" s="186" t="s">
        <v>257</v>
      </c>
      <c r="S38" s="155">
        <f>MIN(INT(P38*$E$41),ReadMe!$M$99)</f>
        <v>32917</v>
      </c>
      <c r="T38" s="1564" t="s">
        <v>323</v>
      </c>
      <c r="U38" s="1556">
        <f>INT(P39*(1-$G$41)+S39*$G$41)</f>
        <v>32563</v>
      </c>
    </row>
    <row r="39" spans="1:21" ht="14.25" thickBot="1">
      <c r="A39" s="402" t="b">
        <v>0</v>
      </c>
      <c r="B39" s="1228" t="s">
        <v>87</v>
      </c>
      <c r="C39" s="1284"/>
      <c r="D39" s="512"/>
      <c r="E39" s="506"/>
      <c r="F39" s="505">
        <f>IF(H39="true",0.15,0)</f>
        <v>0</v>
      </c>
      <c r="G39" s="511">
        <f>IF(H39="true",0.1,0)</f>
        <v>0</v>
      </c>
      <c r="H39" s="402" t="str">
        <f>IF(A39=TRUE,"TRUE",IF(D39=1,"TRUE","FLASE"))</f>
        <v>FLASE</v>
      </c>
      <c r="I39" s="771" t="s">
        <v>437</v>
      </c>
      <c r="J39" s="205"/>
      <c r="K39" s="228">
        <v>0</v>
      </c>
      <c r="N39" s="1228"/>
      <c r="O39" s="43" t="s">
        <v>258</v>
      </c>
      <c r="P39" s="522">
        <f>INT((P38+P40)/2)</f>
        <v>32003</v>
      </c>
      <c r="Q39" s="1235"/>
      <c r="R39" s="79" t="s">
        <v>258</v>
      </c>
      <c r="S39" s="156">
        <f>MIN(INT(P39*(($E$41+$F$41)/2)),ReadMe!$M$99)</f>
        <v>43204</v>
      </c>
      <c r="T39" s="1565"/>
      <c r="U39" s="1557"/>
    </row>
    <row r="40" spans="2:21" ht="14.25" thickBot="1">
      <c r="B40" s="1285" t="s">
        <v>89</v>
      </c>
      <c r="C40" s="1286"/>
      <c r="D40" s="1287"/>
      <c r="E40" s="513">
        <v>0</v>
      </c>
      <c r="F40" s="514">
        <v>0</v>
      </c>
      <c r="G40" s="515">
        <v>0</v>
      </c>
      <c r="N40" s="1229"/>
      <c r="O40" s="15" t="s">
        <v>259</v>
      </c>
      <c r="P40" s="523">
        <f>MIN(INT(($T$4*Q37)*(1+$B$34+$E$34+$B$52+$K$35)*$D$26),ReadMe!$M$99)</f>
        <v>36575</v>
      </c>
      <c r="Q40" s="1236"/>
      <c r="R40" s="86" t="s">
        <v>259</v>
      </c>
      <c r="S40" s="157">
        <f>MIN(INT(P40*$F$41),ReadMe!$M$99)</f>
        <v>54862</v>
      </c>
      <c r="T40" s="1565"/>
      <c r="U40" s="1557"/>
    </row>
    <row r="41" spans="2:21" ht="14.25" thickBot="1">
      <c r="B41" s="1290" t="s">
        <v>91</v>
      </c>
      <c r="C41" s="1291"/>
      <c r="D41" s="1292"/>
      <c r="E41" s="508">
        <f>E37+E39+E40</f>
        <v>1.2</v>
      </c>
      <c r="F41" s="509">
        <f>F37+MAX(F38,F39)+F40</f>
        <v>1.5</v>
      </c>
      <c r="G41" s="510">
        <f>G37+MAX(G38,G39)+G40</f>
        <v>0.05</v>
      </c>
      <c r="I41" s="1259" t="s">
        <v>128</v>
      </c>
      <c r="J41" s="1260"/>
      <c r="K41" s="791"/>
      <c r="L41" s="402" t="b">
        <v>0</v>
      </c>
      <c r="M41" s="486" t="str">
        <f>IF(L41=TRUE,"TRUE",IF(K41=1,"TRUE","FLASE"))</f>
        <v>FLASE</v>
      </c>
      <c r="N41" s="1342" t="s">
        <v>268</v>
      </c>
      <c r="O41" s="1420"/>
      <c r="P41" s="1420"/>
      <c r="Q41" s="1420"/>
      <c r="R41" s="1420"/>
      <c r="S41" s="1670">
        <f>U38*T37*$T$10*$G$47</f>
        <v>3212882.666666667</v>
      </c>
      <c r="T41" s="1478"/>
      <c r="U41" s="1479"/>
    </row>
    <row r="42" spans="2:11" ht="14.25" thickBot="1">
      <c r="B42" s="1216" t="s">
        <v>331</v>
      </c>
      <c r="C42" s="1199"/>
      <c r="D42" s="1200"/>
      <c r="E42" s="1253">
        <f>(($E$41+$F$41)/2-1)*$G$41+1</f>
        <v>1.0175</v>
      </c>
      <c r="F42" s="1254"/>
      <c r="G42" s="1255"/>
      <c r="I42" s="590" t="s">
        <v>1119</v>
      </c>
      <c r="J42" s="788"/>
      <c r="K42" s="789">
        <v>0</v>
      </c>
    </row>
    <row r="43" spans="9:21" ht="14.25" thickBot="1">
      <c r="I43" s="1251" t="s">
        <v>854</v>
      </c>
      <c r="J43" s="1252"/>
      <c r="K43" s="790">
        <f>IF(M41="true",IF(K42&gt;0,10+ROUNDUP(K42/3,0),10)/100,0)</f>
        <v>0</v>
      </c>
      <c r="L43" s="323"/>
      <c r="M43" s="323"/>
      <c r="N43" s="1158" t="s">
        <v>531</v>
      </c>
      <c r="O43" s="1159"/>
      <c r="P43" s="1159"/>
      <c r="Q43" s="1159"/>
      <c r="R43" s="1159"/>
      <c r="S43" s="1159"/>
      <c r="T43" s="1159"/>
      <c r="U43" s="1160"/>
    </row>
    <row r="44" spans="14:21" ht="14.25" thickBot="1">
      <c r="N44" s="147" t="s">
        <v>519</v>
      </c>
      <c r="O44" s="148">
        <f>D7</f>
        <v>1</v>
      </c>
      <c r="P44" s="147" t="s">
        <v>301</v>
      </c>
      <c r="Q44" s="606">
        <f>(900+20*O44)/100</f>
        <v>9.2</v>
      </c>
      <c r="R44" s="1677" t="s">
        <v>765</v>
      </c>
      <c r="S44" s="1678"/>
      <c r="T44" s="681">
        <f>60-2*INT(O44/2)</f>
        <v>60</v>
      </c>
      <c r="U44" s="200"/>
    </row>
    <row r="45" spans="2:25" ht="14.25" thickBot="1">
      <c r="B45" s="1282" t="s">
        <v>735</v>
      </c>
      <c r="C45" s="1283"/>
      <c r="D45" s="533">
        <v>125</v>
      </c>
      <c r="E45" s="1249" t="s">
        <v>736</v>
      </c>
      <c r="F45" s="1250"/>
      <c r="G45" s="25">
        <f>IF(D2&gt;D45,0,$D$45-$D$2)</f>
        <v>0</v>
      </c>
      <c r="I45" s="1137" t="s">
        <v>159</v>
      </c>
      <c r="J45" s="1138"/>
      <c r="K45" s="1139"/>
      <c r="N45" s="1305" t="s">
        <v>552</v>
      </c>
      <c r="O45" s="1306"/>
      <c r="P45" s="679">
        <f>(100+4*O44)/100</f>
        <v>1.04</v>
      </c>
      <c r="Q45" s="17" t="s">
        <v>1241</v>
      </c>
      <c r="R45" s="83">
        <f>5+INT(O44/6)</f>
        <v>5</v>
      </c>
      <c r="S45" s="1305" t="s">
        <v>551</v>
      </c>
      <c r="T45" s="1306"/>
      <c r="U45" s="677">
        <f>INT(P4*P45*N5*IF($L$22="true",1.5,1))</f>
        <v>11270</v>
      </c>
      <c r="W45" s="57"/>
      <c r="X45" s="57"/>
      <c r="Y45" s="57"/>
    </row>
    <row r="46" spans="2:21" ht="13.5">
      <c r="B46" s="1242" t="s">
        <v>769</v>
      </c>
      <c r="C46" s="1243"/>
      <c r="D46" s="9">
        <v>12</v>
      </c>
      <c r="E46" s="1242" t="s">
        <v>771</v>
      </c>
      <c r="F46" s="1243"/>
      <c r="G46" s="615">
        <f>IF(G45&gt;0,"-",D46)</f>
        <v>12</v>
      </c>
      <c r="I46" s="416" t="s">
        <v>160</v>
      </c>
      <c r="J46" s="539"/>
      <c r="K46" s="204">
        <v>0</v>
      </c>
      <c r="L46" s="323"/>
      <c r="M46" s="323"/>
      <c r="N46" s="1227" t="str">
        <f>IF($L$22="true","火弱点","通常")</f>
        <v>通常</v>
      </c>
      <c r="O46" s="76" t="s">
        <v>257</v>
      </c>
      <c r="P46" s="521">
        <f>MIN(INT(($R$4*Q44)*(1+$B$34+$E$34+$B$52+$K$35)*$D$26*$N$5*IF($L$22="true",1.5,1)),ReadMe!$M$99)</f>
        <v>84124</v>
      </c>
      <c r="Q46" s="1234" t="s">
        <v>725</v>
      </c>
      <c r="R46" s="186" t="s">
        <v>257</v>
      </c>
      <c r="S46" s="155">
        <f>MIN(INT(P46*$E$41),ReadMe!$M$99)</f>
        <v>100948</v>
      </c>
      <c r="T46" s="1564" t="s">
        <v>323</v>
      </c>
      <c r="U46" s="1556">
        <f>INT(P47*(1-$G$41)+S47*$G$41)</f>
        <v>99861</v>
      </c>
    </row>
    <row r="47" spans="2:21" ht="14.25" thickBot="1">
      <c r="B47" s="1293" t="s">
        <v>734</v>
      </c>
      <c r="C47" s="1294"/>
      <c r="D47" s="9">
        <v>0</v>
      </c>
      <c r="E47" s="1242" t="s">
        <v>770</v>
      </c>
      <c r="F47" s="1243"/>
      <c r="G47" s="511">
        <f>MAX((MIN(100+SQRT($K$29)-SQRT($D$46),100)-2*G45)/100,0)</f>
        <v>1</v>
      </c>
      <c r="I47" s="417" t="s">
        <v>161</v>
      </c>
      <c r="J47" s="540"/>
      <c r="K47" s="418">
        <f>IF(K46&gt;0,(K46+10)/100,0)</f>
        <v>0</v>
      </c>
      <c r="N47" s="1228"/>
      <c r="O47" s="43" t="s">
        <v>258</v>
      </c>
      <c r="P47" s="522">
        <f>INT((P46+P48)/2)</f>
        <v>98144</v>
      </c>
      <c r="Q47" s="1235"/>
      <c r="R47" s="79" t="s">
        <v>258</v>
      </c>
      <c r="S47" s="156">
        <f>MIN(INT(P47*(($E$41+$F$41)/2)),ReadMe!$M$99)</f>
        <v>132494</v>
      </c>
      <c r="T47" s="1565"/>
      <c r="U47" s="1557"/>
    </row>
    <row r="48" spans="2:21" ht="14.25" thickBot="1">
      <c r="B48" s="1278" t="s">
        <v>979</v>
      </c>
      <c r="C48" s="1279"/>
      <c r="D48" s="534">
        <v>0.25</v>
      </c>
      <c r="E48" s="1197" t="s">
        <v>980</v>
      </c>
      <c r="F48" s="1198"/>
      <c r="G48" s="28">
        <f>1-(D48-ROUNDUP(D48*(K47+B32),2))</f>
        <v>0.75</v>
      </c>
      <c r="N48" s="1229"/>
      <c r="O48" s="15" t="s">
        <v>259</v>
      </c>
      <c r="P48" s="523">
        <f>MIN(INT(($T$4*Q44)*(1+$B$34+$E$34+$B$52+$K$35)*$D$26*$N$5*IF($L$22="true",1.5,1)),ReadMe!$M$99)</f>
        <v>112165</v>
      </c>
      <c r="Q48" s="1236"/>
      <c r="R48" s="86" t="s">
        <v>259</v>
      </c>
      <c r="S48" s="157">
        <f>MIN(INT(P48*$F$41),ReadMe!$M$99)</f>
        <v>168247</v>
      </c>
      <c r="T48" s="1566"/>
      <c r="U48" s="1558"/>
    </row>
    <row r="49" spans="4:13" ht="14.25" thickBot="1">
      <c r="D49" s="402">
        <f>$D$47*(1-($K$47+$B$32))</f>
        <v>0</v>
      </c>
      <c r="I49" s="1246" t="s">
        <v>79</v>
      </c>
      <c r="J49" s="1247"/>
      <c r="K49" s="1248"/>
      <c r="L49" s="323"/>
      <c r="M49" s="162"/>
    </row>
    <row r="50" spans="2:19" ht="14.25" thickBot="1">
      <c r="B50" s="1153" t="s">
        <v>1084</v>
      </c>
      <c r="C50" s="1133"/>
      <c r="D50" s="1129"/>
      <c r="I50" s="1127" t="s">
        <v>988</v>
      </c>
      <c r="J50" s="1217"/>
      <c r="K50" s="468"/>
      <c r="L50" s="486" t="b">
        <v>0</v>
      </c>
      <c r="M50" s="486" t="str">
        <f>IF(L50=TRUE,"TRUE",IF(K50=1,"TRUE","FLASE"))</f>
        <v>FLASE</v>
      </c>
      <c r="N50" s="1158" t="s">
        <v>553</v>
      </c>
      <c r="O50" s="1159"/>
      <c r="P50" s="1159"/>
      <c r="Q50" s="1159"/>
      <c r="R50" s="1159"/>
      <c r="S50" s="1160"/>
    </row>
    <row r="51" spans="2:19" ht="14.25" thickBot="1">
      <c r="B51" s="1187" t="s">
        <v>877</v>
      </c>
      <c r="C51" s="1188"/>
      <c r="D51" s="1189"/>
      <c r="I51" s="1244" t="s">
        <v>989</v>
      </c>
      <c r="J51" s="1245"/>
      <c r="K51" s="469"/>
      <c r="L51" s="486" t="b">
        <v>0</v>
      </c>
      <c r="M51" s="486" t="str">
        <f>IF(L51=TRUE,"TRUE",IF(K51=1,"TRUE","FLASE"))</f>
        <v>FLASE</v>
      </c>
      <c r="N51" s="291" t="s">
        <v>519</v>
      </c>
      <c r="O51" s="271">
        <f>D9</f>
        <v>30</v>
      </c>
      <c r="P51" s="240" t="s">
        <v>301</v>
      </c>
      <c r="Q51" s="408">
        <f>(250+5*O51)/100</f>
        <v>4</v>
      </c>
      <c r="R51" s="14" t="s">
        <v>872</v>
      </c>
      <c r="S51" s="16">
        <f>O51*5+10</f>
        <v>160</v>
      </c>
    </row>
    <row r="52" spans="2:19" ht="14.25" thickBot="1">
      <c r="B52" s="1194">
        <v>0</v>
      </c>
      <c r="C52" s="1195"/>
      <c r="D52" s="1196"/>
      <c r="I52" s="1240" t="s">
        <v>854</v>
      </c>
      <c r="J52" s="1241"/>
      <c r="K52" s="206">
        <f>IF(M50="TRUE",1.04,IF(M51="TRUE",1.02,1))</f>
        <v>1</v>
      </c>
      <c r="L52" s="333"/>
      <c r="M52" s="333"/>
      <c r="N52" s="1342" t="s">
        <v>1050</v>
      </c>
      <c r="O52" s="1471"/>
      <c r="P52" s="310">
        <f>60/S51</f>
        <v>0.375</v>
      </c>
      <c r="Q52" s="1469" t="s">
        <v>1068</v>
      </c>
      <c r="R52" s="1470"/>
      <c r="S52" s="83">
        <v>20</v>
      </c>
    </row>
    <row r="53" spans="14:15" ht="14.25" thickBot="1">
      <c r="N53" s="292" t="s">
        <v>1043</v>
      </c>
      <c r="O53" s="4">
        <f>MIN(INT(($N$4*Q51)*(1+$B$34+$E$34+$B$52+$K$35)*$D$26*IF($L$22="true",1.5,1)),ReadMe!$M$99)</f>
        <v>48767</v>
      </c>
    </row>
    <row r="54" spans="2:15" ht="14.25" thickBot="1">
      <c r="B54" s="1342" t="s">
        <v>265</v>
      </c>
      <c r="C54" s="1420"/>
      <c r="D54" s="1420"/>
      <c r="E54" s="1420"/>
      <c r="F54" s="1420"/>
      <c r="G54" s="1420"/>
      <c r="H54" s="1420"/>
      <c r="I54" s="1420"/>
      <c r="J54" s="1420"/>
      <c r="K54" s="1420"/>
      <c r="L54" s="1421"/>
      <c r="N54" s="7" t="s">
        <v>1044</v>
      </c>
      <c r="O54" s="44">
        <f>INT((O53+O55)/2)</f>
        <v>56895</v>
      </c>
    </row>
    <row r="55" spans="2:15" ht="14.25" thickBot="1">
      <c r="B55" s="1425" t="s">
        <v>538</v>
      </c>
      <c r="C55" s="1426"/>
      <c r="D55" s="1426"/>
      <c r="E55" s="1426"/>
      <c r="F55" s="1426"/>
      <c r="G55" s="1426"/>
      <c r="H55" s="1426"/>
      <c r="I55" s="1426"/>
      <c r="J55" s="1426"/>
      <c r="K55" s="1426"/>
      <c r="L55" s="1427"/>
      <c r="N55" s="14" t="s">
        <v>1045</v>
      </c>
      <c r="O55" s="143">
        <f>MIN(INT(($P$4*Q51)*(1+$B$34+$E$34+$B$52+$K$35)*$D$26*IF($L$22="true",1.5,1)),ReadMe!$M$99)</f>
        <v>65023</v>
      </c>
    </row>
    <row r="56" spans="2:12" ht="14.25" thickBot="1">
      <c r="B56" s="1422" t="s">
        <v>539</v>
      </c>
      <c r="C56" s="1423"/>
      <c r="D56" s="1423"/>
      <c r="E56" s="1423"/>
      <c r="F56" s="1423"/>
      <c r="G56" s="1423"/>
      <c r="H56" s="1423"/>
      <c r="I56" s="1423"/>
      <c r="J56" s="1423"/>
      <c r="K56" s="1423"/>
      <c r="L56" s="1424"/>
    </row>
    <row r="57" spans="2:21" ht="14.25" thickBot="1">
      <c r="B57" s="1422" t="s">
        <v>1097</v>
      </c>
      <c r="C57" s="1423"/>
      <c r="D57" s="1423"/>
      <c r="E57" s="1423"/>
      <c r="F57" s="1423"/>
      <c r="G57" s="1423"/>
      <c r="H57" s="1423"/>
      <c r="I57" s="1423"/>
      <c r="J57" s="1423"/>
      <c r="K57" s="1423"/>
      <c r="L57" s="1424"/>
      <c r="N57" s="1158" t="s">
        <v>649</v>
      </c>
      <c r="O57" s="1159"/>
      <c r="P57" s="1159"/>
      <c r="Q57" s="1159"/>
      <c r="R57" s="1159"/>
      <c r="S57" s="1159"/>
      <c r="T57" s="1159"/>
      <c r="U57" s="1160"/>
    </row>
    <row r="58" spans="2:21" ht="14.25" thickBot="1">
      <c r="B58" s="1422" t="s">
        <v>1098</v>
      </c>
      <c r="C58" s="1423"/>
      <c r="D58" s="1423"/>
      <c r="E58" s="1423"/>
      <c r="F58" s="1423"/>
      <c r="G58" s="1423"/>
      <c r="H58" s="1423"/>
      <c r="I58" s="1423"/>
      <c r="J58" s="1423"/>
      <c r="K58" s="1423"/>
      <c r="L58" s="1424"/>
      <c r="N58" s="89" t="s">
        <v>519</v>
      </c>
      <c r="O58" s="90">
        <f>D12</f>
        <v>20</v>
      </c>
      <c r="P58" s="146" t="s">
        <v>301</v>
      </c>
      <c r="Q58" s="600">
        <f>(190+2*O58)/100</f>
        <v>2.3</v>
      </c>
      <c r="R58" s="869" t="s">
        <v>1272</v>
      </c>
      <c r="S58" s="83">
        <v>46</v>
      </c>
      <c r="T58" s="866" t="s">
        <v>652</v>
      </c>
      <c r="U58" s="83">
        <f>4*ROUNDUP(O58/2,0)</f>
        <v>40</v>
      </c>
    </row>
    <row r="59" spans="2:21" ht="14.25" thickBot="1">
      <c r="B59" s="1422" t="s">
        <v>680</v>
      </c>
      <c r="C59" s="1423"/>
      <c r="D59" s="1423"/>
      <c r="E59" s="1423"/>
      <c r="F59" s="1423"/>
      <c r="G59" s="1423"/>
      <c r="H59" s="1423"/>
      <c r="I59" s="1423"/>
      <c r="J59" s="1423"/>
      <c r="K59" s="1423"/>
      <c r="L59" s="1424"/>
      <c r="N59" s="1305" t="s">
        <v>552</v>
      </c>
      <c r="O59" s="1306"/>
      <c r="P59" s="679">
        <f>(100+4*O58)/100</f>
        <v>1.8</v>
      </c>
      <c r="Q59" s="17" t="s">
        <v>1241</v>
      </c>
      <c r="R59" s="83">
        <f>10+INT(O58/4)</f>
        <v>15</v>
      </c>
      <c r="S59" s="1305" t="s">
        <v>551</v>
      </c>
      <c r="T59" s="1306"/>
      <c r="U59" s="677">
        <f>INT($P$4*P59*$N$5*IF($L$21="true",1.5,1))</f>
        <v>19507</v>
      </c>
    </row>
    <row r="60" spans="2:21" ht="14.25" thickBot="1">
      <c r="B60" s="1417" t="s">
        <v>681</v>
      </c>
      <c r="C60" s="1418"/>
      <c r="D60" s="1418"/>
      <c r="E60" s="1418"/>
      <c r="F60" s="1418"/>
      <c r="G60" s="1418"/>
      <c r="H60" s="1418"/>
      <c r="I60" s="1418"/>
      <c r="J60" s="1418"/>
      <c r="K60" s="1418"/>
      <c r="L60" s="1419"/>
      <c r="N60" s="1227" t="str">
        <f>IF($L$22="true","火弱点","通常")</f>
        <v>通常</v>
      </c>
      <c r="O60" s="76" t="s">
        <v>257</v>
      </c>
      <c r="P60" s="521">
        <f>MIN(INT(($R$4*Q58)*(1+$B$34+$E$34+$B$52+$K$35)*$D$26*$N$5*IF($L$21="true",1.5,1)),ReadMe!$M$99)</f>
        <v>21031</v>
      </c>
      <c r="Q60" s="1234" t="s">
        <v>725</v>
      </c>
      <c r="R60" s="186" t="s">
        <v>257</v>
      </c>
      <c r="S60" s="155">
        <f>MIN(INT(P60*$E$41),ReadMe!$M$99)</f>
        <v>25237</v>
      </c>
      <c r="T60" s="1564" t="s">
        <v>323</v>
      </c>
      <c r="U60" s="1556">
        <f>INT(P61*(1-$G$41)+S61*$G$41)</f>
        <v>24965</v>
      </c>
    </row>
    <row r="61" spans="14:21" ht="13.5">
      <c r="N61" s="1228"/>
      <c r="O61" s="43" t="s">
        <v>258</v>
      </c>
      <c r="P61" s="522">
        <f>INT((P60+P62)/2)</f>
        <v>24536</v>
      </c>
      <c r="Q61" s="1235"/>
      <c r="R61" s="79" t="s">
        <v>258</v>
      </c>
      <c r="S61" s="156">
        <f>MIN(INT(P61*(($E$41+$F$41)/2)),ReadMe!$M$99)</f>
        <v>33123</v>
      </c>
      <c r="T61" s="1565"/>
      <c r="U61" s="1557"/>
    </row>
    <row r="62" spans="14:21" ht="14.25" thickBot="1">
      <c r="N62" s="1229"/>
      <c r="O62" s="15" t="s">
        <v>259</v>
      </c>
      <c r="P62" s="523">
        <f>MIN(INT(($T$4*Q58)*(1+$B$34+$E$34+$B$52+$K$35)*$D$26*$N$5*IF($L$21="true",1.5,1)),ReadMe!$M$99)</f>
        <v>28041</v>
      </c>
      <c r="Q62" s="1236"/>
      <c r="R62" s="86" t="s">
        <v>259</v>
      </c>
      <c r="S62" s="157">
        <f>MIN(INT(P62*$F$41),ReadMe!$M$99)</f>
        <v>42061</v>
      </c>
      <c r="T62" s="1566"/>
      <c r="U62" s="1558"/>
    </row>
    <row r="63" ht="14.25" thickBot="1"/>
    <row r="64" spans="14:21" ht="14.25" thickBot="1">
      <c r="N64" s="1158" t="s">
        <v>650</v>
      </c>
      <c r="O64" s="1159"/>
      <c r="P64" s="1159"/>
      <c r="Q64" s="1159"/>
      <c r="R64" s="1159"/>
      <c r="S64" s="1159"/>
      <c r="T64" s="1159"/>
      <c r="U64" s="1160"/>
    </row>
    <row r="65" spans="14:21" ht="14.25" thickBot="1">
      <c r="N65" s="89" t="s">
        <v>519</v>
      </c>
      <c r="O65" s="90">
        <f>D13</f>
        <v>20</v>
      </c>
      <c r="P65" s="146" t="s">
        <v>301</v>
      </c>
      <c r="Q65" s="600">
        <f>(500+(O65*5))/100</f>
        <v>6</v>
      </c>
      <c r="R65" s="869" t="s">
        <v>651</v>
      </c>
      <c r="S65" s="83">
        <v>73</v>
      </c>
      <c r="T65" s="868" t="s">
        <v>653</v>
      </c>
      <c r="U65" s="75">
        <f>(40+2*O65)/100</f>
        <v>0.8</v>
      </c>
    </row>
    <row r="66" spans="14:21" ht="14.25" thickBot="1">
      <c r="N66" s="1305" t="s">
        <v>552</v>
      </c>
      <c r="O66" s="1306"/>
      <c r="P66" s="679">
        <f>(50+2*O65)/100</f>
        <v>0.9</v>
      </c>
      <c r="Q66" s="17" t="s">
        <v>1241</v>
      </c>
      <c r="R66" s="83">
        <f>5+INT(O65/4)</f>
        <v>10</v>
      </c>
      <c r="S66" s="1305" t="s">
        <v>551</v>
      </c>
      <c r="T66" s="1306"/>
      <c r="U66" s="677">
        <f>INT($P$4*P66*$N$5*IF(AND($L$22="true",$L$21="true"),1.5,IF(OR($L$22="true",$L$21="true"),1.25,1)))</f>
        <v>9753</v>
      </c>
    </row>
    <row r="67" spans="14:21" ht="13.5">
      <c r="N67" s="1227" t="str">
        <f>IF($L$22="true","火弱点","通常")</f>
        <v>通常</v>
      </c>
      <c r="O67" s="76" t="s">
        <v>257</v>
      </c>
      <c r="P67" s="521">
        <f>MIN(INT(($R$4*Q65)*(1+$B$34+$E$34+$B$52+$K$35)*$D$26*$N$5*IF(AND($L$22="true",$L$21="true"),1.5,IF(OR($L$22="true",$L$21="true"),1.25,1))),ReadMe!$M$99)</f>
        <v>54863</v>
      </c>
      <c r="Q67" s="1234" t="s">
        <v>725</v>
      </c>
      <c r="R67" s="186" t="s">
        <v>257</v>
      </c>
      <c r="S67" s="155">
        <f>MIN(INT(P67*$E$41),ReadMe!$M$99)</f>
        <v>65835</v>
      </c>
      <c r="T67" s="1564" t="s">
        <v>323</v>
      </c>
      <c r="U67" s="1556">
        <f>INT(P68*(1-$G$41)+S68*$G$41)</f>
        <v>65127</v>
      </c>
    </row>
    <row r="68" spans="14:21" ht="13.5">
      <c r="N68" s="1228"/>
      <c r="O68" s="43" t="s">
        <v>258</v>
      </c>
      <c r="P68" s="522">
        <f>INT((P67+P69)/2)</f>
        <v>64007</v>
      </c>
      <c r="Q68" s="1235"/>
      <c r="R68" s="79" t="s">
        <v>258</v>
      </c>
      <c r="S68" s="156">
        <f>MIN(INT(P68*(($E$41+$F$41)/2)),ReadMe!$M$99)</f>
        <v>86409</v>
      </c>
      <c r="T68" s="1565"/>
      <c r="U68" s="1557"/>
    </row>
    <row r="69" spans="14:21" ht="14.25" thickBot="1">
      <c r="N69" s="1229"/>
      <c r="O69" s="15" t="s">
        <v>259</v>
      </c>
      <c r="P69" s="523">
        <f>MIN(INT(($T$4*Q65)*(1+$B$34+$E$34+$B$52+$K$35)*$D$26*$N$5*IF(AND($L$22="true",$L$21="true"),1.5,IF(OR($L$22="true",$L$21="true"),1.25,1))),ReadMe!$M$99)</f>
        <v>73151</v>
      </c>
      <c r="Q69" s="1236"/>
      <c r="R69" s="86" t="s">
        <v>259</v>
      </c>
      <c r="S69" s="157">
        <f>MIN(INT(P69*$F$41),ReadMe!$M$99)</f>
        <v>109726</v>
      </c>
      <c r="T69" s="1566"/>
      <c r="U69" s="1558"/>
    </row>
    <row r="70" ht="14.25" thickBot="1"/>
    <row r="71" spans="14:21" ht="14.25" thickBot="1">
      <c r="N71" s="1158" t="s">
        <v>648</v>
      </c>
      <c r="O71" s="1159"/>
      <c r="P71" s="1159"/>
      <c r="Q71" s="1159"/>
      <c r="R71" s="1159"/>
      <c r="S71" s="1159"/>
      <c r="T71" s="1159"/>
      <c r="U71" s="1160"/>
    </row>
    <row r="72" spans="14:19" ht="14.25" thickBot="1">
      <c r="N72" s="89" t="s">
        <v>519</v>
      </c>
      <c r="O72" s="90">
        <f>D14</f>
        <v>20</v>
      </c>
      <c r="P72" s="146" t="s">
        <v>301</v>
      </c>
      <c r="Q72" s="600">
        <f>(140+7*O72)/100</f>
        <v>2.8</v>
      </c>
      <c r="R72" s="869" t="s">
        <v>1272</v>
      </c>
      <c r="S72" s="83">
        <v>46</v>
      </c>
    </row>
    <row r="73" spans="14:21" ht="14.25" thickBot="1">
      <c r="N73" s="1305" t="s">
        <v>552</v>
      </c>
      <c r="O73" s="1306"/>
      <c r="P73" s="679">
        <f>(20+2*O72)/100</f>
        <v>0.6</v>
      </c>
      <c r="Q73" s="17" t="s">
        <v>1241</v>
      </c>
      <c r="R73" s="83">
        <f>5+INT(O72/4)</f>
        <v>10</v>
      </c>
      <c r="S73" s="1305" t="s">
        <v>551</v>
      </c>
      <c r="T73" s="1306"/>
      <c r="U73" s="677">
        <f>INT($P$4*P73*$N$5*IF($L$21="true",1.5,1))</f>
        <v>6502</v>
      </c>
    </row>
    <row r="74" spans="14:21" ht="13.5">
      <c r="N74" s="1227" t="str">
        <f>IF($L$22="true","火弱点","通常")</f>
        <v>通常</v>
      </c>
      <c r="O74" s="76" t="s">
        <v>257</v>
      </c>
      <c r="P74" s="521">
        <f>MIN(INT(($R$4*Q72)*(1+$B$34+$E$34+$B$52+$K$35)*$D$26*$N$5*IF($L$21="true",1.5,1)),ReadMe!$M$99)</f>
        <v>25603</v>
      </c>
      <c r="Q74" s="1234" t="s">
        <v>725</v>
      </c>
      <c r="R74" s="186" t="s">
        <v>257</v>
      </c>
      <c r="S74" s="155">
        <f>MIN(INT(P74*$E$41),ReadMe!$M$99)</f>
        <v>30723</v>
      </c>
      <c r="T74" s="1564" t="s">
        <v>323</v>
      </c>
      <c r="U74" s="1556">
        <f>INT(P75*(1-$G$41)+S75*$G$41)</f>
        <v>30392</v>
      </c>
    </row>
    <row r="75" spans="14:21" ht="13.5">
      <c r="N75" s="1228"/>
      <c r="O75" s="43" t="s">
        <v>258</v>
      </c>
      <c r="P75" s="522">
        <f>INT((P74+P76)/2)</f>
        <v>29870</v>
      </c>
      <c r="Q75" s="1235"/>
      <c r="R75" s="79" t="s">
        <v>258</v>
      </c>
      <c r="S75" s="156">
        <f>MIN(INT(P75*(($E$41+$F$41)/2)),ReadMe!$M$99)</f>
        <v>40324</v>
      </c>
      <c r="T75" s="1565"/>
      <c r="U75" s="1557"/>
    </row>
    <row r="76" spans="14:21" ht="14.25" thickBot="1">
      <c r="N76" s="1229"/>
      <c r="O76" s="15" t="s">
        <v>259</v>
      </c>
      <c r="P76" s="523">
        <f>MIN(INT(($T$4*Q72)*(1+$B$34+$E$34+$B$52+$K$35)*$D$26*$N$5*IF($L$21="true",1.5,1)),ReadMe!$M$99)</f>
        <v>34137</v>
      </c>
      <c r="Q76" s="1236"/>
      <c r="R76" s="86" t="s">
        <v>259</v>
      </c>
      <c r="S76" s="157">
        <f>MIN(INT(P76*$F$41),ReadMe!$M$99)</f>
        <v>51205</v>
      </c>
      <c r="T76" s="1566"/>
      <c r="U76" s="1558"/>
    </row>
    <row r="77" ht="14.25" thickBot="1"/>
    <row r="78" spans="14:19" ht="14.25" thickBot="1">
      <c r="N78" s="1237" t="s">
        <v>1405</v>
      </c>
      <c r="O78" s="1238"/>
      <c r="P78" s="1386"/>
      <c r="Q78" s="1386"/>
      <c r="R78" s="1386"/>
      <c r="S78" s="1239"/>
    </row>
    <row r="79" spans="14:18" ht="14.25" thickBot="1">
      <c r="N79" s="465" t="s">
        <v>310</v>
      </c>
      <c r="O79" s="463">
        <v>0.75</v>
      </c>
      <c r="P79" s="1305" t="s">
        <v>1051</v>
      </c>
      <c r="Q79" s="1306"/>
      <c r="R79" s="313" t="s">
        <v>165</v>
      </c>
    </row>
    <row r="80" spans="14:19" ht="14.25" thickBot="1">
      <c r="N80" s="1342" t="s">
        <v>1294</v>
      </c>
      <c r="O80" s="1343"/>
      <c r="P80" s="694">
        <v>1</v>
      </c>
      <c r="Q80" s="1465" t="s">
        <v>1334</v>
      </c>
      <c r="R80" s="1466"/>
      <c r="S80" s="313">
        <v>1</v>
      </c>
    </row>
    <row r="81" spans="14:19" ht="13.5">
      <c r="N81" s="1227" t="s">
        <v>327</v>
      </c>
      <c r="O81" s="76" t="s">
        <v>257</v>
      </c>
      <c r="P81" s="521">
        <f>MIN(INT(($R$4*P80)*(1+$B$34+$E$34+$B$52+$K$35)*$D$26*IF(R79="火",$N$5,$O$5)),ReadMe!$M$99)</f>
        <v>9143</v>
      </c>
      <c r="Q81" s="1234" t="s">
        <v>725</v>
      </c>
      <c r="R81" s="186" t="s">
        <v>257</v>
      </c>
      <c r="S81" s="155">
        <f>MIN(INT(P81*$E$41),ReadMe!$M$99)</f>
        <v>10971</v>
      </c>
    </row>
    <row r="82" spans="14:19" ht="13.5">
      <c r="N82" s="1228"/>
      <c r="O82" s="43" t="s">
        <v>258</v>
      </c>
      <c r="P82" s="522">
        <f>INT((P81+P83)/2)</f>
        <v>10667</v>
      </c>
      <c r="Q82" s="1235"/>
      <c r="R82" s="79" t="s">
        <v>258</v>
      </c>
      <c r="S82" s="156">
        <f>MIN(INT(P82*(($E$41+$F$41)/2)),ReadMe!$M$99)</f>
        <v>14400</v>
      </c>
    </row>
    <row r="83" spans="14:19" ht="14.25" thickBot="1">
      <c r="N83" s="1229"/>
      <c r="O83" s="15" t="s">
        <v>259</v>
      </c>
      <c r="P83" s="523">
        <f>MIN(INT(($T$4*P80)*(1+$B$34+$E$34+$B$52+$K$35)*$D$26*$N$5),ReadMe!$M$99)</f>
        <v>12191</v>
      </c>
      <c r="Q83" s="1236"/>
      <c r="R83" s="86" t="s">
        <v>259</v>
      </c>
      <c r="S83" s="157">
        <f>MIN(INT(P83*$F$41),ReadMe!$M$99)</f>
        <v>18286</v>
      </c>
    </row>
    <row r="84" spans="14:19" ht="14.25" thickBot="1">
      <c r="N84" s="1302" t="s">
        <v>323</v>
      </c>
      <c r="O84" s="1303"/>
      <c r="P84" s="1304"/>
      <c r="Q84" s="1302">
        <f>INT(P82*(1-$G$41)+S82*$G$41)</f>
        <v>10853</v>
      </c>
      <c r="R84" s="1303"/>
      <c r="S84" s="1304"/>
    </row>
    <row r="85" spans="14:19" ht="14.25" thickBot="1">
      <c r="N85" s="1302" t="s">
        <v>726</v>
      </c>
      <c r="O85" s="1303"/>
      <c r="P85" s="1304"/>
      <c r="Q85" s="1489">
        <f>Q84*S80</f>
        <v>10853</v>
      </c>
      <c r="R85" s="1463"/>
      <c r="S85" s="1464"/>
    </row>
  </sheetData>
  <sheetProtection/>
  <protectedRanges>
    <protectedRange sqref="D45:D46 D48" name="範囲1_1_1"/>
  </protectedRanges>
  <mergeCells count="152">
    <mergeCell ref="Z33:AA33"/>
    <mergeCell ref="Z32:AA32"/>
    <mergeCell ref="W33:Y33"/>
    <mergeCell ref="E32:F32"/>
    <mergeCell ref="N11:U11"/>
    <mergeCell ref="N19:U19"/>
    <mergeCell ref="N21:O21"/>
    <mergeCell ref="Q14:Q16"/>
    <mergeCell ref="T14:T16"/>
    <mergeCell ref="S17:U17"/>
    <mergeCell ref="N13:O13"/>
    <mergeCell ref="N14:N16"/>
    <mergeCell ref="B59:L59"/>
    <mergeCell ref="U14:U16"/>
    <mergeCell ref="S32:U34"/>
    <mergeCell ref="S12:T12"/>
    <mergeCell ref="S20:T20"/>
    <mergeCell ref="S13:T13"/>
    <mergeCell ref="T22:T24"/>
    <mergeCell ref="B22:C22"/>
    <mergeCell ref="B23:C23"/>
    <mergeCell ref="B32:D32"/>
    <mergeCell ref="B36:D36"/>
    <mergeCell ref="B37:D37"/>
    <mergeCell ref="N32:N34"/>
    <mergeCell ref="Q32:R32"/>
    <mergeCell ref="I34:K34"/>
    <mergeCell ref="I37:K37"/>
    <mergeCell ref="Q34:R34"/>
    <mergeCell ref="B34:D34"/>
    <mergeCell ref="E34:F34"/>
    <mergeCell ref="N84:P84"/>
    <mergeCell ref="Q84:S84"/>
    <mergeCell ref="T38:T40"/>
    <mergeCell ref="U38:U40"/>
    <mergeCell ref="N38:N40"/>
    <mergeCell ref="U46:U48"/>
    <mergeCell ref="T46:T48"/>
    <mergeCell ref="Q81:Q83"/>
    <mergeCell ref="N78:S78"/>
    <mergeCell ref="P79:Q79"/>
    <mergeCell ref="N85:P85"/>
    <mergeCell ref="Q85:S85"/>
    <mergeCell ref="N43:U43"/>
    <mergeCell ref="N46:N48"/>
    <mergeCell ref="N80:O80"/>
    <mergeCell ref="Q80:R80"/>
    <mergeCell ref="Q46:Q48"/>
    <mergeCell ref="Q52:R52"/>
    <mergeCell ref="N52:O52"/>
    <mergeCell ref="N50:S50"/>
    <mergeCell ref="E47:F47"/>
    <mergeCell ref="B38:C38"/>
    <mergeCell ref="I43:J43"/>
    <mergeCell ref="I41:J41"/>
    <mergeCell ref="B46:C46"/>
    <mergeCell ref="E46:F46"/>
    <mergeCell ref="I38:K38"/>
    <mergeCell ref="F1:P1"/>
    <mergeCell ref="B33:D33"/>
    <mergeCell ref="B39:C39"/>
    <mergeCell ref="B40:D40"/>
    <mergeCell ref="N2:P2"/>
    <mergeCell ref="N17:R17"/>
    <mergeCell ref="R2:T2"/>
    <mergeCell ref="B30:K30"/>
    <mergeCell ref="B31:D31"/>
    <mergeCell ref="N6:U6"/>
    <mergeCell ref="B58:L58"/>
    <mergeCell ref="N45:O45"/>
    <mergeCell ref="R44:S44"/>
    <mergeCell ref="B54:L54"/>
    <mergeCell ref="B51:D51"/>
    <mergeCell ref="B48:C48"/>
    <mergeCell ref="I52:J52"/>
    <mergeCell ref="I51:J51"/>
    <mergeCell ref="I49:K49"/>
    <mergeCell ref="I50:J50"/>
    <mergeCell ref="B52:D52"/>
    <mergeCell ref="S41:U41"/>
    <mergeCell ref="S45:T45"/>
    <mergeCell ref="I45:K45"/>
    <mergeCell ref="B45:C45"/>
    <mergeCell ref="E45:F45"/>
    <mergeCell ref="E42:G42"/>
    <mergeCell ref="B41:D41"/>
    <mergeCell ref="B42:D42"/>
    <mergeCell ref="B47:C47"/>
    <mergeCell ref="T8:U9"/>
    <mergeCell ref="E31:F31"/>
    <mergeCell ref="B2:C2"/>
    <mergeCell ref="B27:C27"/>
    <mergeCell ref="B7:C7"/>
    <mergeCell ref="Q29:Q31"/>
    <mergeCell ref="N9:O9"/>
    <mergeCell ref="T7:U7"/>
    <mergeCell ref="N7:O7"/>
    <mergeCell ref="N22:N24"/>
    <mergeCell ref="B60:L60"/>
    <mergeCell ref="N8:O8"/>
    <mergeCell ref="E33:F33"/>
    <mergeCell ref="U22:U24"/>
    <mergeCell ref="S21:T21"/>
    <mergeCell ref="B57:L57"/>
    <mergeCell ref="B55:L55"/>
    <mergeCell ref="B56:L56"/>
    <mergeCell ref="E48:F48"/>
    <mergeCell ref="B50:D50"/>
    <mergeCell ref="N81:N83"/>
    <mergeCell ref="N36:U36"/>
    <mergeCell ref="N71:U71"/>
    <mergeCell ref="N73:O73"/>
    <mergeCell ref="S73:T73"/>
    <mergeCell ref="N74:N76"/>
    <mergeCell ref="Q74:Q76"/>
    <mergeCell ref="Q38:Q40"/>
    <mergeCell ref="N64:U64"/>
    <mergeCell ref="N66:O66"/>
    <mergeCell ref="Q22:Q24"/>
    <mergeCell ref="R37:S37"/>
    <mergeCell ref="N25:R25"/>
    <mergeCell ref="S25:U25"/>
    <mergeCell ref="N27:U27"/>
    <mergeCell ref="T29:T31"/>
    <mergeCell ref="U29:U31"/>
    <mergeCell ref="N29:N31"/>
    <mergeCell ref="T74:T76"/>
    <mergeCell ref="U74:U76"/>
    <mergeCell ref="N67:N69"/>
    <mergeCell ref="Q67:Q69"/>
    <mergeCell ref="T67:T69"/>
    <mergeCell ref="U67:U69"/>
    <mergeCell ref="W16:Y16"/>
    <mergeCell ref="S66:T66"/>
    <mergeCell ref="Q60:Q62"/>
    <mergeCell ref="T60:T62"/>
    <mergeCell ref="W32:Y32"/>
    <mergeCell ref="U60:U62"/>
    <mergeCell ref="N57:U57"/>
    <mergeCell ref="S59:T59"/>
    <mergeCell ref="N60:N62"/>
    <mergeCell ref="N59:O59"/>
    <mergeCell ref="W17:Y17"/>
    <mergeCell ref="N41:R41"/>
    <mergeCell ref="AF2:AH2"/>
    <mergeCell ref="W2:AE2"/>
    <mergeCell ref="W24:Y24"/>
    <mergeCell ref="W25:Y25"/>
    <mergeCell ref="Z16:AA16"/>
    <mergeCell ref="Z17:AA17"/>
    <mergeCell ref="Z25:AA25"/>
    <mergeCell ref="Z24:AA24"/>
  </mergeCells>
  <printOptions/>
  <pageMargins left="0.75" right="0.75" top="1" bottom="1" header="0.512" footer="0.512"/>
  <pageSetup horizontalDpi="300" verticalDpi="300" orientation="portrait" paperSize="9" r:id="rId2"/>
  <ignoredErrors>
    <ignoredError sqref="G28:J28"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DamagePerMinute</dc:title>
  <dc:subject/>
  <dc:creator>　</dc:creator>
  <cp:keywords/>
  <dc:description/>
  <cp:lastModifiedBy>t</cp:lastModifiedBy>
  <dcterms:created xsi:type="dcterms:W3CDTF">2008-03-11T22:19:47Z</dcterms:created>
  <dcterms:modified xsi:type="dcterms:W3CDTF">2011-08-31T15:50:19Z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